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1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8" i="13" l="1"/>
  <c r="C327" i="13"/>
  <c r="C326" i="13"/>
  <c r="C325" i="13"/>
  <c r="C324" i="13"/>
  <c r="C323" i="13"/>
  <c r="C322" i="13"/>
  <c r="C321" i="13"/>
  <c r="C329" i="13" s="1"/>
  <c r="C320" i="13"/>
  <c r="C319" i="13"/>
  <c r="C318" i="13"/>
  <c r="C317" i="13"/>
  <c r="E301" i="13"/>
  <c r="E300" i="13"/>
  <c r="E299" i="13"/>
  <c r="E298" i="13"/>
  <c r="E297" i="13"/>
  <c r="E296" i="13"/>
  <c r="E295" i="13"/>
  <c r="E302" i="13" s="1"/>
  <c r="C301" i="13"/>
  <c r="C300" i="13"/>
  <c r="C299" i="13"/>
  <c r="C298" i="13"/>
  <c r="C297" i="13"/>
  <c r="C296" i="13"/>
  <c r="C295" i="13"/>
  <c r="E289" i="13"/>
  <c r="E288" i="13"/>
  <c r="E287" i="13"/>
  <c r="E286" i="13"/>
  <c r="E285" i="13"/>
  <c r="E290" i="13" s="1"/>
  <c r="C289" i="13"/>
  <c r="C288" i="13"/>
  <c r="C287" i="13"/>
  <c r="C286" i="13"/>
  <c r="C285" i="13"/>
  <c r="C290" i="13" s="1"/>
  <c r="C279" i="13"/>
  <c r="C278" i="13"/>
  <c r="C277" i="13"/>
  <c r="C276" i="13"/>
  <c r="C275" i="13"/>
  <c r="C274" i="13"/>
  <c r="E279" i="13"/>
  <c r="E278" i="13"/>
  <c r="E277" i="13"/>
  <c r="E276" i="13"/>
  <c r="E275" i="13"/>
  <c r="E274" i="13"/>
  <c r="C272" i="13"/>
  <c r="C271" i="13"/>
  <c r="C270" i="13"/>
  <c r="C269" i="13"/>
  <c r="C268" i="13"/>
  <c r="C267" i="13"/>
  <c r="C266" i="13"/>
  <c r="C265" i="13"/>
  <c r="C264" i="13"/>
  <c r="C263" i="13"/>
  <c r="C262" i="13"/>
  <c r="C261" i="13"/>
  <c r="C260" i="13"/>
  <c r="C259" i="13"/>
  <c r="C258" i="13"/>
  <c r="C257" i="13"/>
  <c r="C256" i="13"/>
  <c r="C255" i="13"/>
  <c r="E253" i="13"/>
  <c r="E252" i="13"/>
  <c r="E251" i="13"/>
  <c r="E250" i="13"/>
  <c r="E249" i="13"/>
  <c r="E248" i="13"/>
  <c r="E247" i="13"/>
  <c r="E246" i="13"/>
  <c r="E245" i="13"/>
  <c r="E244" i="13"/>
  <c r="E243" i="13"/>
  <c r="E242" i="13"/>
  <c r="E241" i="13"/>
  <c r="E240" i="13"/>
  <c r="C253" i="13"/>
  <c r="C252" i="13"/>
  <c r="C251" i="13"/>
  <c r="C250" i="13"/>
  <c r="C249" i="13"/>
  <c r="C248" i="13"/>
  <c r="C247" i="13"/>
  <c r="C246" i="13"/>
  <c r="C245" i="13"/>
  <c r="C244" i="13"/>
  <c r="C243" i="13"/>
  <c r="C242" i="13"/>
  <c r="C241" i="13"/>
  <c r="C240" i="13"/>
  <c r="E236" i="13"/>
  <c r="C236" i="13"/>
  <c r="E230" i="13"/>
  <c r="E231" i="13" s="1"/>
  <c r="E229" i="13"/>
  <c r="C230" i="13"/>
  <c r="C229" i="13"/>
  <c r="C223" i="13"/>
  <c r="C224" i="13" s="1"/>
  <c r="C222" i="13"/>
  <c r="E216" i="13"/>
  <c r="E215" i="13"/>
  <c r="E214" i="13"/>
  <c r="E213" i="13"/>
  <c r="E212" i="13"/>
  <c r="E211" i="13"/>
  <c r="E210" i="13"/>
  <c r="E209" i="13"/>
  <c r="E208" i="13"/>
  <c r="C216" i="13"/>
  <c r="C215" i="13"/>
  <c r="C214" i="13"/>
  <c r="C213" i="13"/>
  <c r="C212" i="13"/>
  <c r="C211" i="13"/>
  <c r="C210" i="13"/>
  <c r="C209" i="13"/>
  <c r="C208" i="13"/>
  <c r="C217" i="13" s="1"/>
  <c r="E202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6" i="13"/>
  <c r="E185" i="13"/>
  <c r="E184" i="13"/>
  <c r="E183" i="13"/>
  <c r="E182" i="13"/>
  <c r="E181" i="13"/>
  <c r="E180" i="13"/>
  <c r="E179" i="13"/>
  <c r="E178" i="13"/>
  <c r="E177" i="13"/>
  <c r="E176" i="13"/>
  <c r="E175" i="13"/>
  <c r="E174" i="13"/>
  <c r="E203" i="13" s="1"/>
  <c r="E173" i="13"/>
  <c r="E172" i="13"/>
  <c r="C202" i="13"/>
  <c r="C201" i="13"/>
  <c r="C200" i="13"/>
  <c r="C199" i="13"/>
  <c r="C198" i="13"/>
  <c r="C197" i="13"/>
  <c r="C196" i="13"/>
  <c r="C195" i="13"/>
  <c r="C194" i="13"/>
  <c r="C193" i="13"/>
  <c r="C192" i="13"/>
  <c r="C191" i="13"/>
  <c r="C190" i="13"/>
  <c r="C189" i="13"/>
  <c r="C188" i="13"/>
  <c r="C187" i="13"/>
  <c r="C186" i="13"/>
  <c r="C185" i="13"/>
  <c r="C184" i="13"/>
  <c r="C183" i="13"/>
  <c r="C182" i="13"/>
  <c r="C181" i="13"/>
  <c r="C180" i="13"/>
  <c r="C179" i="13"/>
  <c r="C178" i="13"/>
  <c r="C177" i="13"/>
  <c r="C176" i="13"/>
  <c r="C175" i="13"/>
  <c r="C174" i="13"/>
  <c r="C203" i="13" s="1"/>
  <c r="C173" i="13"/>
  <c r="C172" i="13"/>
  <c r="E166" i="13"/>
  <c r="E165" i="13"/>
  <c r="E164" i="13"/>
  <c r="E163" i="13"/>
  <c r="E162" i="13"/>
  <c r="E161" i="13"/>
  <c r="E160" i="13"/>
  <c r="C166" i="13"/>
  <c r="C165" i="13"/>
  <c r="C164" i="13"/>
  <c r="C163" i="13"/>
  <c r="C162" i="13"/>
  <c r="C161" i="13"/>
  <c r="C160" i="13"/>
  <c r="E154" i="13"/>
  <c r="E155" i="13" s="1"/>
  <c r="E153" i="13"/>
  <c r="C154" i="13"/>
  <c r="C153" i="13"/>
  <c r="D153" i="13"/>
  <c r="C155" i="13"/>
  <c r="D154" i="13"/>
  <c r="E146" i="13"/>
  <c r="D146" i="13"/>
  <c r="C146" i="13"/>
  <c r="E145" i="13"/>
  <c r="D145" i="13"/>
  <c r="C145" i="13"/>
  <c r="E144" i="13"/>
  <c r="D144" i="13"/>
  <c r="C144" i="13"/>
  <c r="E143" i="13"/>
  <c r="D143" i="13"/>
  <c r="C143" i="13"/>
  <c r="E142" i="13"/>
  <c r="E147" i="13" s="1"/>
  <c r="D142" i="13"/>
  <c r="C142" i="13"/>
  <c r="E141" i="13"/>
  <c r="D141" i="13"/>
  <c r="C141" i="13"/>
  <c r="E140" i="13"/>
  <c r="D140" i="13"/>
  <c r="C140" i="13"/>
  <c r="E138" i="13"/>
  <c r="D138" i="13"/>
  <c r="C138" i="13"/>
  <c r="E137" i="13"/>
  <c r="D137" i="13"/>
  <c r="C137" i="13"/>
  <c r="E136" i="13"/>
  <c r="D136" i="13"/>
  <c r="C136" i="13"/>
  <c r="E135" i="13"/>
  <c r="D135" i="13"/>
  <c r="C135" i="13"/>
  <c r="E134" i="13"/>
  <c r="D134" i="13"/>
  <c r="C134" i="13"/>
  <c r="E133" i="13"/>
  <c r="D133" i="13"/>
  <c r="C133" i="13"/>
  <c r="E132" i="13"/>
  <c r="D132" i="13"/>
  <c r="C132" i="13"/>
  <c r="E131" i="13"/>
  <c r="D131" i="13"/>
  <c r="C131" i="13"/>
  <c r="E130" i="13"/>
  <c r="D130" i="13"/>
  <c r="C130" i="13"/>
  <c r="E129" i="13"/>
  <c r="D129" i="13"/>
  <c r="C129" i="13"/>
  <c r="E128" i="13"/>
  <c r="E139" i="13" s="1"/>
  <c r="D128" i="13"/>
  <c r="C128" i="13"/>
  <c r="E127" i="13"/>
  <c r="D127" i="13"/>
  <c r="C127" i="13"/>
  <c r="E126" i="13"/>
  <c r="D126" i="13"/>
  <c r="C126" i="13"/>
  <c r="C139" i="13" s="1"/>
  <c r="E115" i="13"/>
  <c r="E114" i="13"/>
  <c r="E49" i="13"/>
  <c r="E48" i="13"/>
  <c r="E47" i="13"/>
  <c r="E45" i="13"/>
  <c r="E44" i="13"/>
  <c r="E43" i="13"/>
  <c r="E42" i="13"/>
  <c r="E37" i="13"/>
  <c r="E36" i="13"/>
  <c r="E35" i="13"/>
  <c r="E34" i="13"/>
  <c r="E33" i="13"/>
  <c r="E32" i="13"/>
  <c r="E31" i="13"/>
  <c r="E30" i="13"/>
  <c r="E29" i="13"/>
  <c r="E28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F109" i="13" s="1"/>
  <c r="E91" i="13"/>
  <c r="D91" i="13"/>
  <c r="D109" i="13" s="1"/>
  <c r="F90" i="13"/>
  <c r="E90" i="13"/>
  <c r="D90" i="13"/>
  <c r="E83" i="13"/>
  <c r="E84" i="13" s="1"/>
  <c r="E82" i="13"/>
  <c r="E81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 s="1"/>
  <c r="E40" i="13"/>
  <c r="E39" i="13"/>
  <c r="C121" i="13"/>
  <c r="C115" i="13"/>
  <c r="C116" i="13" s="1"/>
  <c r="C114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109" i="13" s="1"/>
  <c r="C83" i="13"/>
  <c r="C82" i="13"/>
  <c r="C81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49" i="13"/>
  <c r="C48" i="13"/>
  <c r="C47" i="13"/>
  <c r="C45" i="13"/>
  <c r="C44" i="13"/>
  <c r="C43" i="13"/>
  <c r="C42" i="13"/>
  <c r="C40" i="13"/>
  <c r="C39" i="13"/>
  <c r="C37" i="13"/>
  <c r="C36" i="13"/>
  <c r="C35" i="13"/>
  <c r="C34" i="13"/>
  <c r="C33" i="13"/>
  <c r="C32" i="13"/>
  <c r="C31" i="13"/>
  <c r="C30" i="13"/>
  <c r="C29" i="13"/>
  <c r="C28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E344" i="13"/>
  <c r="E343" i="13"/>
  <c r="E335" i="13"/>
  <c r="E334" i="13"/>
  <c r="D301" i="13"/>
  <c r="D300" i="13"/>
  <c r="D299" i="13"/>
  <c r="D298" i="13"/>
  <c r="D297" i="13"/>
  <c r="D296" i="13"/>
  <c r="D295" i="13"/>
  <c r="D289" i="13"/>
  <c r="D288" i="13"/>
  <c r="D287" i="13"/>
  <c r="D286" i="13"/>
  <c r="D285" i="13"/>
  <c r="D279" i="13"/>
  <c r="D278" i="13"/>
  <c r="D277" i="13"/>
  <c r="D276" i="13"/>
  <c r="D275" i="13"/>
  <c r="D274" i="13"/>
  <c r="E272" i="13"/>
  <c r="D272" i="13"/>
  <c r="E271" i="13"/>
  <c r="D271" i="13"/>
  <c r="E270" i="13"/>
  <c r="D270" i="13"/>
  <c r="E269" i="13"/>
  <c r="D269" i="13"/>
  <c r="E268" i="13"/>
  <c r="D268" i="13"/>
  <c r="E267" i="13"/>
  <c r="D267" i="13"/>
  <c r="E266" i="13"/>
  <c r="D266" i="13"/>
  <c r="E265" i="13"/>
  <c r="D265" i="13"/>
  <c r="E264" i="13"/>
  <c r="D264" i="13"/>
  <c r="E263" i="13"/>
  <c r="D263" i="13"/>
  <c r="E262" i="13"/>
  <c r="D262" i="13"/>
  <c r="E261" i="13"/>
  <c r="D261" i="13"/>
  <c r="E260" i="13"/>
  <c r="D260" i="13"/>
  <c r="E259" i="13"/>
  <c r="D259" i="13"/>
  <c r="E258" i="13"/>
  <c r="D258" i="13"/>
  <c r="E257" i="13"/>
  <c r="D257" i="13"/>
  <c r="E256" i="13"/>
  <c r="D256" i="13"/>
  <c r="E255" i="13"/>
  <c r="D255" i="13"/>
  <c r="D253" i="13"/>
  <c r="D252" i="13"/>
  <c r="D251" i="13"/>
  <c r="D250" i="13"/>
  <c r="D249" i="13"/>
  <c r="D248" i="13"/>
  <c r="D247" i="13"/>
  <c r="D246" i="13"/>
  <c r="D245" i="13"/>
  <c r="D244" i="13"/>
  <c r="D243" i="13"/>
  <c r="D242" i="13"/>
  <c r="D241" i="13"/>
  <c r="D240" i="13"/>
  <c r="D230" i="13"/>
  <c r="D229" i="13"/>
  <c r="C231" i="13"/>
  <c r="D216" i="13"/>
  <c r="D214" i="13"/>
  <c r="D213" i="13"/>
  <c r="D212" i="13"/>
  <c r="D211" i="13"/>
  <c r="D210" i="13"/>
  <c r="D209" i="13"/>
  <c r="E217" i="13"/>
  <c r="D208" i="13"/>
  <c r="D202" i="13"/>
  <c r="D201" i="13"/>
  <c r="D200" i="13"/>
  <c r="D199" i="13"/>
  <c r="D198" i="13"/>
  <c r="D197" i="13"/>
  <c r="D196" i="13"/>
  <c r="D195" i="13"/>
  <c r="D194" i="13"/>
  <c r="D193" i="13"/>
  <c r="D192" i="13"/>
  <c r="D191" i="13"/>
  <c r="D190" i="13"/>
  <c r="D189" i="13"/>
  <c r="D188" i="13"/>
  <c r="D187" i="13"/>
  <c r="D186" i="13"/>
  <c r="D185" i="13"/>
  <c r="D184" i="13"/>
  <c r="D183" i="13"/>
  <c r="D182" i="13"/>
  <c r="D181" i="13"/>
  <c r="D180" i="13"/>
  <c r="D179" i="13"/>
  <c r="D178" i="13"/>
  <c r="D177" i="13"/>
  <c r="D176" i="13"/>
  <c r="D175" i="13"/>
  <c r="D174" i="13"/>
  <c r="D173" i="13"/>
  <c r="D172" i="13"/>
  <c r="D166" i="13"/>
  <c r="D165" i="13"/>
  <c r="D164" i="13"/>
  <c r="D163" i="13"/>
  <c r="D162" i="13"/>
  <c r="D161" i="13"/>
  <c r="E167" i="13"/>
  <c r="D160" i="13"/>
  <c r="C167" i="13"/>
  <c r="C147" i="13"/>
  <c r="D115" i="13"/>
  <c r="E116" i="13"/>
  <c r="D114" i="13"/>
  <c r="E109" i="13"/>
  <c r="C84" i="13"/>
  <c r="C55" i="13"/>
  <c r="C76" i="13" s="1"/>
  <c r="D49" i="13"/>
  <c r="D48" i="13"/>
  <c r="D47" i="13"/>
  <c r="D45" i="13"/>
  <c r="D44" i="13"/>
  <c r="D43" i="13"/>
  <c r="D42" i="13"/>
  <c r="D40" i="13"/>
  <c r="D39" i="13"/>
  <c r="D37" i="13"/>
  <c r="D36" i="13"/>
  <c r="D35" i="13"/>
  <c r="D34" i="13"/>
  <c r="D33" i="13"/>
  <c r="D32" i="13"/>
  <c r="D31" i="13"/>
  <c r="D30" i="13"/>
  <c r="D29" i="13"/>
  <c r="D28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C8" i="13"/>
  <c r="C6" i="13"/>
  <c r="A5" i="13"/>
  <c r="C4" i="13"/>
  <c r="A3" i="13"/>
  <c r="A2" i="13"/>
  <c r="E280" i="13" l="1"/>
  <c r="C280" i="13"/>
  <c r="C148" i="13"/>
  <c r="E76" i="13"/>
  <c r="E50" i="13"/>
  <c r="C50" i="13"/>
  <c r="E148" i="13"/>
  <c r="E306" i="13"/>
  <c r="E344" i="12"/>
  <c r="E343" i="12"/>
  <c r="E335" i="12"/>
  <c r="E334" i="12"/>
  <c r="C321" i="12"/>
  <c r="C329" i="12" s="1"/>
  <c r="E301" i="12"/>
  <c r="D301" i="12"/>
  <c r="C301" i="12"/>
  <c r="E300" i="12"/>
  <c r="D300" i="12"/>
  <c r="C300" i="12"/>
  <c r="E299" i="12"/>
  <c r="D299" i="12"/>
  <c r="C299" i="12"/>
  <c r="E298" i="12"/>
  <c r="D298" i="12"/>
  <c r="C298" i="12"/>
  <c r="E297" i="12"/>
  <c r="D297" i="12"/>
  <c r="C297" i="12"/>
  <c r="E296" i="12"/>
  <c r="E302" i="12" s="1"/>
  <c r="D296" i="12"/>
  <c r="C296" i="12"/>
  <c r="E295" i="12"/>
  <c r="D295" i="12"/>
  <c r="C295" i="12"/>
  <c r="E289" i="12"/>
  <c r="D289" i="12"/>
  <c r="C289" i="12"/>
  <c r="E288" i="12"/>
  <c r="D288" i="12"/>
  <c r="C288" i="12"/>
  <c r="E287" i="12"/>
  <c r="E290" i="12" s="1"/>
  <c r="D287" i="12"/>
  <c r="C287" i="12"/>
  <c r="E286" i="12"/>
  <c r="D286" i="12"/>
  <c r="C286" i="12"/>
  <c r="E285" i="12"/>
  <c r="D285" i="12"/>
  <c r="C285" i="12"/>
  <c r="C290" i="12" s="1"/>
  <c r="E279" i="12"/>
  <c r="D279" i="12"/>
  <c r="C279" i="12"/>
  <c r="E278" i="12"/>
  <c r="D278" i="12"/>
  <c r="C278" i="12"/>
  <c r="E277" i="12"/>
  <c r="D277" i="12"/>
  <c r="C277" i="12"/>
  <c r="E276" i="12"/>
  <c r="D276" i="12"/>
  <c r="C276" i="12"/>
  <c r="E275" i="12"/>
  <c r="D275" i="12"/>
  <c r="C275" i="12"/>
  <c r="E274" i="12"/>
  <c r="D274" i="12"/>
  <c r="C274" i="12"/>
  <c r="E272" i="12"/>
  <c r="D272" i="12"/>
  <c r="C272" i="12"/>
  <c r="E271" i="12"/>
  <c r="D271" i="12"/>
  <c r="C271" i="12"/>
  <c r="E270" i="12"/>
  <c r="D270" i="12"/>
  <c r="C270" i="12"/>
  <c r="E269" i="12"/>
  <c r="D269" i="12"/>
  <c r="C269" i="12"/>
  <c r="E268" i="12"/>
  <c r="D268" i="12"/>
  <c r="C268" i="12"/>
  <c r="E267" i="12"/>
  <c r="D267" i="12"/>
  <c r="C267" i="12"/>
  <c r="E266" i="12"/>
  <c r="D266" i="12"/>
  <c r="C266" i="12"/>
  <c r="E265" i="12"/>
  <c r="D265" i="12"/>
  <c r="C265" i="12"/>
  <c r="E264" i="12"/>
  <c r="D264" i="12"/>
  <c r="C264" i="12"/>
  <c r="E263" i="12"/>
  <c r="D263" i="12"/>
  <c r="C263" i="12"/>
  <c r="E262" i="12"/>
  <c r="D262" i="12"/>
  <c r="C262" i="12"/>
  <c r="E261" i="12"/>
  <c r="D261" i="12"/>
  <c r="C261" i="12"/>
  <c r="E260" i="12"/>
  <c r="D260" i="12"/>
  <c r="C260" i="12"/>
  <c r="E259" i="12"/>
  <c r="D259" i="12"/>
  <c r="C259" i="12"/>
  <c r="E258" i="12"/>
  <c r="D258" i="12"/>
  <c r="C258" i="12"/>
  <c r="E257" i="12"/>
  <c r="D257" i="12"/>
  <c r="C257" i="12"/>
  <c r="E256" i="12"/>
  <c r="D256" i="12"/>
  <c r="C256" i="12"/>
  <c r="E255" i="12"/>
  <c r="D255" i="12"/>
  <c r="C255" i="12"/>
  <c r="E253" i="12"/>
  <c r="D253" i="12"/>
  <c r="C253" i="12"/>
  <c r="E252" i="12"/>
  <c r="D252" i="12"/>
  <c r="C252" i="12"/>
  <c r="E251" i="12"/>
  <c r="D251" i="12"/>
  <c r="C251" i="12"/>
  <c r="E250" i="12"/>
  <c r="D250" i="12"/>
  <c r="C250" i="12"/>
  <c r="E249" i="12"/>
  <c r="D249" i="12"/>
  <c r="C249" i="12"/>
  <c r="E248" i="12"/>
  <c r="D248" i="12"/>
  <c r="C248" i="12"/>
  <c r="E247" i="12"/>
  <c r="D247" i="12"/>
  <c r="C247" i="12"/>
  <c r="E246" i="12"/>
  <c r="D246" i="12"/>
  <c r="C246" i="12"/>
  <c r="E245" i="12"/>
  <c r="D245" i="12"/>
  <c r="C245" i="12"/>
  <c r="E244" i="12"/>
  <c r="D244" i="12"/>
  <c r="C244" i="12"/>
  <c r="E243" i="12"/>
  <c r="D243" i="12"/>
  <c r="C243" i="12"/>
  <c r="E242" i="12"/>
  <c r="D242" i="12"/>
  <c r="C242" i="12"/>
  <c r="E241" i="12"/>
  <c r="D241" i="12"/>
  <c r="C241" i="12"/>
  <c r="E240" i="12"/>
  <c r="E280" i="12" s="1"/>
  <c r="D240" i="12"/>
  <c r="C240" i="12"/>
  <c r="C280" i="12" s="1"/>
  <c r="E236" i="12"/>
  <c r="C236" i="12"/>
  <c r="C231" i="12"/>
  <c r="E230" i="12"/>
  <c r="D230" i="12"/>
  <c r="C230" i="12"/>
  <c r="E229" i="12"/>
  <c r="E231" i="12" s="1"/>
  <c r="E306" i="12" s="1"/>
  <c r="D229" i="12"/>
  <c r="C229" i="12"/>
  <c r="C224" i="12"/>
  <c r="E216" i="12"/>
  <c r="D216" i="12"/>
  <c r="C216" i="12"/>
  <c r="E215" i="12"/>
  <c r="C215" i="12"/>
  <c r="E214" i="12"/>
  <c r="D214" i="12"/>
  <c r="C214" i="12"/>
  <c r="E213" i="12"/>
  <c r="D213" i="12"/>
  <c r="C213" i="12"/>
  <c r="E212" i="12"/>
  <c r="D212" i="12"/>
  <c r="C212" i="12"/>
  <c r="E211" i="12"/>
  <c r="E217" i="12" s="1"/>
  <c r="D211" i="12"/>
  <c r="C211" i="12"/>
  <c r="E210" i="12"/>
  <c r="D210" i="12"/>
  <c r="C210" i="12"/>
  <c r="E209" i="12"/>
  <c r="D209" i="12"/>
  <c r="C209" i="12"/>
  <c r="E208" i="12"/>
  <c r="D208" i="12"/>
  <c r="C208" i="12"/>
  <c r="C217" i="12" s="1"/>
  <c r="E202" i="12"/>
  <c r="D202" i="12"/>
  <c r="C202" i="12"/>
  <c r="E201" i="12"/>
  <c r="D201" i="12"/>
  <c r="C201" i="12"/>
  <c r="E200" i="12"/>
  <c r="D200" i="12"/>
  <c r="C200" i="12"/>
  <c r="E199" i="12"/>
  <c r="D199" i="12"/>
  <c r="C199" i="12"/>
  <c r="E198" i="12"/>
  <c r="D198" i="12"/>
  <c r="C198" i="12"/>
  <c r="E197" i="12"/>
  <c r="D197" i="12"/>
  <c r="C197" i="12"/>
  <c r="E196" i="12"/>
  <c r="D196" i="12"/>
  <c r="C196" i="12"/>
  <c r="E195" i="12"/>
  <c r="D195" i="12"/>
  <c r="C195" i="12"/>
  <c r="E194" i="12"/>
  <c r="D194" i="12"/>
  <c r="C194" i="12"/>
  <c r="E193" i="12"/>
  <c r="D193" i="12"/>
  <c r="C193" i="12"/>
  <c r="E192" i="12"/>
  <c r="D192" i="12"/>
  <c r="C192" i="12"/>
  <c r="E191" i="12"/>
  <c r="D191" i="12"/>
  <c r="C191" i="12"/>
  <c r="E190" i="12"/>
  <c r="D190" i="12"/>
  <c r="C190" i="12"/>
  <c r="E189" i="12"/>
  <c r="D189" i="12"/>
  <c r="C189" i="12"/>
  <c r="E188" i="12"/>
  <c r="D188" i="12"/>
  <c r="C188" i="12"/>
  <c r="E187" i="12"/>
  <c r="D187" i="12"/>
  <c r="C187" i="12"/>
  <c r="E186" i="12"/>
  <c r="D186" i="12"/>
  <c r="C186" i="12"/>
  <c r="E185" i="12"/>
  <c r="D185" i="12"/>
  <c r="C185" i="12"/>
  <c r="E184" i="12"/>
  <c r="D184" i="12"/>
  <c r="C184" i="12"/>
  <c r="E183" i="12"/>
  <c r="D183" i="12"/>
  <c r="C183" i="12"/>
  <c r="E182" i="12"/>
  <c r="D182" i="12"/>
  <c r="C182" i="12"/>
  <c r="E181" i="12"/>
  <c r="D181" i="12"/>
  <c r="C181" i="12"/>
  <c r="E180" i="12"/>
  <c r="D180" i="12"/>
  <c r="C180" i="12"/>
  <c r="E179" i="12"/>
  <c r="D179" i="12"/>
  <c r="C179" i="12"/>
  <c r="E178" i="12"/>
  <c r="D178" i="12"/>
  <c r="C178" i="12"/>
  <c r="E177" i="12"/>
  <c r="D177" i="12"/>
  <c r="C177" i="12"/>
  <c r="E176" i="12"/>
  <c r="D176" i="12"/>
  <c r="C176" i="12"/>
  <c r="E175" i="12"/>
  <c r="D175" i="12"/>
  <c r="C175" i="12"/>
  <c r="E174" i="12"/>
  <c r="D174" i="12"/>
  <c r="C174" i="12"/>
  <c r="E173" i="12"/>
  <c r="D173" i="12"/>
  <c r="C173" i="12"/>
  <c r="E172" i="12"/>
  <c r="E203" i="12" s="1"/>
  <c r="D172" i="12"/>
  <c r="C172" i="12"/>
  <c r="C203" i="12" s="1"/>
  <c r="E166" i="12"/>
  <c r="D166" i="12"/>
  <c r="C166" i="12"/>
  <c r="E165" i="12"/>
  <c r="D165" i="12"/>
  <c r="C165" i="12"/>
  <c r="E164" i="12"/>
  <c r="D164" i="12"/>
  <c r="C164" i="12"/>
  <c r="E163" i="12"/>
  <c r="D163" i="12"/>
  <c r="C163" i="12"/>
  <c r="C167" i="12" s="1"/>
  <c r="E162" i="12"/>
  <c r="D162" i="12"/>
  <c r="C162" i="12"/>
  <c r="E161" i="12"/>
  <c r="D161" i="12"/>
  <c r="C161" i="12"/>
  <c r="E160" i="12"/>
  <c r="E167" i="12" s="1"/>
  <c r="D160" i="12"/>
  <c r="C160" i="12"/>
  <c r="C155" i="12"/>
  <c r="E154" i="12"/>
  <c r="D154" i="12"/>
  <c r="C154" i="12"/>
  <c r="E153" i="12"/>
  <c r="E155" i="12" s="1"/>
  <c r="D153" i="12"/>
  <c r="C153" i="12"/>
  <c r="E146" i="12"/>
  <c r="D146" i="12"/>
  <c r="C146" i="12"/>
  <c r="E145" i="12"/>
  <c r="D145" i="12"/>
  <c r="C145" i="12"/>
  <c r="E144" i="12"/>
  <c r="E147" i="12" s="1"/>
  <c r="D144" i="12"/>
  <c r="C144" i="12"/>
  <c r="E143" i="12"/>
  <c r="D143" i="12"/>
  <c r="C143" i="12"/>
  <c r="E142" i="12"/>
  <c r="D142" i="12"/>
  <c r="C142" i="12"/>
  <c r="E141" i="12"/>
  <c r="D141" i="12"/>
  <c r="C141" i="12"/>
  <c r="C147" i="12" s="1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9" i="12"/>
  <c r="D129" i="12"/>
  <c r="C129" i="12"/>
  <c r="E128" i="12"/>
  <c r="E139" i="12" s="1"/>
  <c r="D128" i="12"/>
  <c r="C128" i="12"/>
  <c r="E127" i="12"/>
  <c r="D127" i="12"/>
  <c r="C127" i="12"/>
  <c r="E126" i="12"/>
  <c r="D126" i="12"/>
  <c r="C126" i="12"/>
  <c r="C139" i="12" s="1"/>
  <c r="C121" i="12"/>
  <c r="C116" i="12"/>
  <c r="E115" i="12"/>
  <c r="D115" i="12"/>
  <c r="C115" i="12"/>
  <c r="E114" i="12"/>
  <c r="E116" i="12" s="1"/>
  <c r="D114" i="12"/>
  <c r="C114" i="12"/>
  <c r="F108" i="12"/>
  <c r="E108" i="12"/>
  <c r="D108" i="12"/>
  <c r="C108" i="12"/>
  <c r="F107" i="12"/>
  <c r="F109" i="12" s="1"/>
  <c r="E107" i="12"/>
  <c r="E109" i="12" s="1"/>
  <c r="D107" i="12"/>
  <c r="C107" i="12"/>
  <c r="F106" i="12"/>
  <c r="E106" i="12"/>
  <c r="D106" i="12"/>
  <c r="C106" i="12"/>
  <c r="F105" i="12"/>
  <c r="E105" i="12"/>
  <c r="D105" i="12"/>
  <c r="C105" i="12"/>
  <c r="F104" i="12"/>
  <c r="E104" i="12"/>
  <c r="D104" i="12"/>
  <c r="C104" i="12"/>
  <c r="F103" i="12"/>
  <c r="E103" i="12"/>
  <c r="D103" i="12"/>
  <c r="D109" i="12" s="1"/>
  <c r="C103" i="12"/>
  <c r="C109" i="12" s="1"/>
  <c r="F102" i="12"/>
  <c r="E102" i="12"/>
  <c r="D102" i="12"/>
  <c r="C102" i="12"/>
  <c r="F101" i="12"/>
  <c r="E101" i="12"/>
  <c r="D101" i="12"/>
  <c r="C101" i="12"/>
  <c r="F100" i="12"/>
  <c r="E100" i="12"/>
  <c r="D100" i="12"/>
  <c r="C100" i="12"/>
  <c r="F99" i="12"/>
  <c r="E99" i="12"/>
  <c r="D99" i="12"/>
  <c r="C99" i="12"/>
  <c r="F98" i="12"/>
  <c r="E98" i="12"/>
  <c r="D98" i="12"/>
  <c r="C98" i="12"/>
  <c r="F97" i="12"/>
  <c r="E97" i="12"/>
  <c r="D97" i="12"/>
  <c r="C97" i="12"/>
  <c r="F96" i="12"/>
  <c r="E96" i="12"/>
  <c r="D96" i="12"/>
  <c r="C96" i="12"/>
  <c r="F95" i="12"/>
  <c r="E95" i="12"/>
  <c r="D95" i="12"/>
  <c r="C95" i="12"/>
  <c r="F94" i="12"/>
  <c r="E94" i="12"/>
  <c r="D94" i="12"/>
  <c r="C94" i="12"/>
  <c r="F93" i="12"/>
  <c r="E93" i="12"/>
  <c r="D93" i="12"/>
  <c r="C93" i="12"/>
  <c r="F92" i="12"/>
  <c r="E92" i="12"/>
  <c r="D92" i="12"/>
  <c r="C92" i="12"/>
  <c r="F91" i="12"/>
  <c r="E91" i="12"/>
  <c r="D91" i="12"/>
  <c r="C91" i="12"/>
  <c r="F90" i="12"/>
  <c r="E90" i="12"/>
  <c r="D90" i="12"/>
  <c r="C90" i="12"/>
  <c r="E83" i="12"/>
  <c r="C83" i="12"/>
  <c r="E82" i="12"/>
  <c r="C82" i="12"/>
  <c r="C84" i="12" s="1"/>
  <c r="E81" i="12"/>
  <c r="E84" i="12" s="1"/>
  <c r="C81" i="12"/>
  <c r="E75" i="12"/>
  <c r="C75" i="12"/>
  <c r="E74" i="12"/>
  <c r="C74" i="12"/>
  <c r="E73" i="12"/>
  <c r="C73" i="12"/>
  <c r="E72" i="12"/>
  <c r="C72" i="12"/>
  <c r="E71" i="12"/>
  <c r="C71" i="12"/>
  <c r="E70" i="12"/>
  <c r="C70" i="12"/>
  <c r="E69" i="12"/>
  <c r="E68" i="12" s="1"/>
  <c r="C69" i="12"/>
  <c r="C68" i="12"/>
  <c r="C76" i="12" s="1"/>
  <c r="E67" i="12"/>
  <c r="C67" i="12"/>
  <c r="E66" i="12"/>
  <c r="C66" i="12"/>
  <c r="E65" i="12"/>
  <c r="C65" i="12"/>
  <c r="E64" i="12"/>
  <c r="C64" i="12"/>
  <c r="E63" i="12"/>
  <c r="C63" i="12"/>
  <c r="E62" i="12"/>
  <c r="C62" i="12"/>
  <c r="E61" i="12"/>
  <c r="C61" i="12"/>
  <c r="E60" i="12"/>
  <c r="C60" i="12"/>
  <c r="E59" i="12"/>
  <c r="C59" i="12"/>
  <c r="E58" i="12"/>
  <c r="C58" i="12"/>
  <c r="E57" i="12"/>
  <c r="C57" i="12"/>
  <c r="E56" i="12"/>
  <c r="C56" i="12"/>
  <c r="E55" i="12"/>
  <c r="E76" i="12" s="1"/>
  <c r="C55" i="12"/>
  <c r="E49" i="12"/>
  <c r="D49" i="12"/>
  <c r="C49" i="12"/>
  <c r="E48" i="12"/>
  <c r="D48" i="12"/>
  <c r="C48" i="12"/>
  <c r="E47" i="12"/>
  <c r="D47" i="12"/>
  <c r="C47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0" i="12"/>
  <c r="D40" i="12"/>
  <c r="C40" i="12"/>
  <c r="E39" i="12"/>
  <c r="D39" i="12"/>
  <c r="C39" i="12"/>
  <c r="E37" i="12"/>
  <c r="D37" i="12"/>
  <c r="C37" i="12"/>
  <c r="E36" i="12"/>
  <c r="D36" i="12"/>
  <c r="C36" i="12"/>
  <c r="E35" i="12"/>
  <c r="D35" i="12"/>
  <c r="C35" i="12"/>
  <c r="E34" i="12"/>
  <c r="D34" i="12"/>
  <c r="C34" i="12"/>
  <c r="E33" i="12"/>
  <c r="D33" i="12"/>
  <c r="C33" i="12"/>
  <c r="E32" i="12"/>
  <c r="D32" i="12"/>
  <c r="C32" i="12"/>
  <c r="E31" i="12"/>
  <c r="D31" i="12"/>
  <c r="C31" i="12"/>
  <c r="E30" i="12"/>
  <c r="D30" i="12"/>
  <c r="C30" i="12"/>
  <c r="E29" i="12"/>
  <c r="D29" i="12"/>
  <c r="C29" i="12"/>
  <c r="E28" i="12"/>
  <c r="D28" i="12"/>
  <c r="C28" i="12"/>
  <c r="E26" i="12"/>
  <c r="D26" i="12"/>
  <c r="C26" i="12"/>
  <c r="E25" i="12"/>
  <c r="D25" i="12"/>
  <c r="C25" i="12"/>
  <c r="E24" i="12"/>
  <c r="D24" i="12"/>
  <c r="C24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D15" i="12"/>
  <c r="C15" i="12"/>
  <c r="E14" i="12"/>
  <c r="E50" i="12" s="1"/>
  <c r="D14" i="12"/>
  <c r="C14" i="12"/>
  <c r="C50" i="12" s="1"/>
  <c r="C8" i="12"/>
  <c r="C6" i="12"/>
  <c r="A5" i="12"/>
  <c r="C4" i="12"/>
  <c r="A4" i="12"/>
  <c r="A3" i="12"/>
  <c r="A2" i="12"/>
  <c r="E344" i="11"/>
  <c r="E343" i="11"/>
  <c r="E335" i="11"/>
  <c r="E334" i="11"/>
  <c r="C321" i="11"/>
  <c r="C329" i="11" s="1"/>
  <c r="E301" i="11"/>
  <c r="D301" i="11"/>
  <c r="C301" i="11"/>
  <c r="E300" i="11"/>
  <c r="D300" i="11"/>
  <c r="C300" i="11"/>
  <c r="E299" i="11"/>
  <c r="D299" i="11"/>
  <c r="C299" i="11"/>
  <c r="E298" i="11"/>
  <c r="D298" i="11"/>
  <c r="C298" i="11"/>
  <c r="E297" i="11"/>
  <c r="D297" i="11"/>
  <c r="C297" i="11"/>
  <c r="E296" i="11"/>
  <c r="D296" i="11"/>
  <c r="C296" i="11"/>
  <c r="E295" i="11"/>
  <c r="E302" i="11" s="1"/>
  <c r="D295" i="11"/>
  <c r="C295" i="11"/>
  <c r="E289" i="11"/>
  <c r="D289" i="11"/>
  <c r="C289" i="11"/>
  <c r="E288" i="11"/>
  <c r="D288" i="11"/>
  <c r="C288" i="11"/>
  <c r="E287" i="11"/>
  <c r="E290" i="11" s="1"/>
  <c r="D287" i="11"/>
  <c r="C287" i="11"/>
  <c r="E286" i="11"/>
  <c r="D286" i="11"/>
  <c r="C286" i="11"/>
  <c r="C290" i="11" s="1"/>
  <c r="E285" i="11"/>
  <c r="D285" i="11"/>
  <c r="C285" i="11"/>
  <c r="E279" i="11"/>
  <c r="D279" i="11"/>
  <c r="C279" i="11"/>
  <c r="E278" i="11"/>
  <c r="D278" i="11"/>
  <c r="C278" i="11"/>
  <c r="E277" i="11"/>
  <c r="D277" i="11"/>
  <c r="C277" i="11"/>
  <c r="E276" i="11"/>
  <c r="D276" i="11"/>
  <c r="C276" i="11"/>
  <c r="E275" i="11"/>
  <c r="D275" i="11"/>
  <c r="C275" i="11"/>
  <c r="E274" i="11"/>
  <c r="D274" i="11"/>
  <c r="C274" i="11"/>
  <c r="E272" i="11"/>
  <c r="D272" i="11"/>
  <c r="C272" i="11"/>
  <c r="E271" i="11"/>
  <c r="D271" i="11"/>
  <c r="C271" i="11"/>
  <c r="E270" i="11"/>
  <c r="D270" i="11"/>
  <c r="C270" i="11"/>
  <c r="E269" i="11"/>
  <c r="D269" i="11"/>
  <c r="C269" i="11"/>
  <c r="E268" i="11"/>
  <c r="D268" i="11"/>
  <c r="C268" i="11"/>
  <c r="E267" i="11"/>
  <c r="D267" i="11"/>
  <c r="C267" i="11"/>
  <c r="E266" i="11"/>
  <c r="D266" i="11"/>
  <c r="C266" i="11"/>
  <c r="E265" i="11"/>
  <c r="D265" i="11"/>
  <c r="C265" i="11"/>
  <c r="E264" i="11"/>
  <c r="D264" i="11"/>
  <c r="C264" i="11"/>
  <c r="E263" i="11"/>
  <c r="D263" i="11"/>
  <c r="C263" i="11"/>
  <c r="E262" i="11"/>
  <c r="D262" i="11"/>
  <c r="C262" i="11"/>
  <c r="E261" i="11"/>
  <c r="D261" i="11"/>
  <c r="C261" i="11"/>
  <c r="E260" i="11"/>
  <c r="D260" i="11"/>
  <c r="C260" i="11"/>
  <c r="E259" i="11"/>
  <c r="D259" i="11"/>
  <c r="C259" i="11"/>
  <c r="E258" i="11"/>
  <c r="D258" i="11"/>
  <c r="C258" i="11"/>
  <c r="E257" i="11"/>
  <c r="D257" i="11"/>
  <c r="C257" i="11"/>
  <c r="E256" i="11"/>
  <c r="D256" i="11"/>
  <c r="C256" i="11"/>
  <c r="E255" i="11"/>
  <c r="D255" i="11"/>
  <c r="C255" i="11"/>
  <c r="E253" i="11"/>
  <c r="D253" i="11"/>
  <c r="C253" i="11"/>
  <c r="E252" i="11"/>
  <c r="D252" i="11"/>
  <c r="C252" i="11"/>
  <c r="E251" i="11"/>
  <c r="D251" i="11"/>
  <c r="C251" i="11"/>
  <c r="E250" i="11"/>
  <c r="D250" i="11"/>
  <c r="C250" i="11"/>
  <c r="E249" i="11"/>
  <c r="D249" i="11"/>
  <c r="C249" i="11"/>
  <c r="E248" i="11"/>
  <c r="D248" i="11"/>
  <c r="C248" i="11"/>
  <c r="E247" i="11"/>
  <c r="D247" i="11"/>
  <c r="C247" i="11"/>
  <c r="E246" i="11"/>
  <c r="D246" i="11"/>
  <c r="C246" i="11"/>
  <c r="E245" i="11"/>
  <c r="D245" i="11"/>
  <c r="C245" i="11"/>
  <c r="E244" i="11"/>
  <c r="D244" i="11"/>
  <c r="C244" i="11"/>
  <c r="E243" i="11"/>
  <c r="E280" i="11" s="1"/>
  <c r="D243" i="11"/>
  <c r="C243" i="11"/>
  <c r="E242" i="11"/>
  <c r="D242" i="11"/>
  <c r="C242" i="11"/>
  <c r="E241" i="11"/>
  <c r="D241" i="11"/>
  <c r="C241" i="11"/>
  <c r="E240" i="11"/>
  <c r="D240" i="11"/>
  <c r="C240" i="11"/>
  <c r="C280" i="11" s="1"/>
  <c r="E236" i="11"/>
  <c r="C236" i="11"/>
  <c r="C231" i="11"/>
  <c r="E230" i="11"/>
  <c r="D230" i="11"/>
  <c r="C230" i="11"/>
  <c r="E229" i="11"/>
  <c r="E231" i="11" s="1"/>
  <c r="E306" i="11" s="1"/>
  <c r="D229" i="11"/>
  <c r="C229" i="11"/>
  <c r="C224" i="11"/>
  <c r="E216" i="11"/>
  <c r="D216" i="11"/>
  <c r="C216" i="11"/>
  <c r="E215" i="11"/>
  <c r="C215" i="11"/>
  <c r="E214" i="11"/>
  <c r="D214" i="11"/>
  <c r="C214" i="11"/>
  <c r="E213" i="11"/>
  <c r="D213" i="11"/>
  <c r="C213" i="11"/>
  <c r="E212" i="11"/>
  <c r="D212" i="11"/>
  <c r="C212" i="11"/>
  <c r="E211" i="11"/>
  <c r="D211" i="11"/>
  <c r="C211" i="11"/>
  <c r="E210" i="11"/>
  <c r="D210" i="11"/>
  <c r="C210" i="11"/>
  <c r="C217" i="11" s="1"/>
  <c r="E209" i="11"/>
  <c r="D209" i="11"/>
  <c r="C209" i="11"/>
  <c r="E208" i="11"/>
  <c r="E217" i="11" s="1"/>
  <c r="D208" i="11"/>
  <c r="C208" i="11"/>
  <c r="E202" i="11"/>
  <c r="D202" i="11"/>
  <c r="C202" i="11"/>
  <c r="E201" i="11"/>
  <c r="D201" i="11"/>
  <c r="C201" i="11"/>
  <c r="E200" i="11"/>
  <c r="D200" i="11"/>
  <c r="C200" i="11"/>
  <c r="E199" i="11"/>
  <c r="D199" i="11"/>
  <c r="C199" i="11"/>
  <c r="E198" i="11"/>
  <c r="D198" i="11"/>
  <c r="C198" i="11"/>
  <c r="E197" i="11"/>
  <c r="D197" i="11"/>
  <c r="C197" i="11"/>
  <c r="E196" i="11"/>
  <c r="D196" i="11"/>
  <c r="C196" i="11"/>
  <c r="E195" i="11"/>
  <c r="D195" i="11"/>
  <c r="C195" i="11"/>
  <c r="E194" i="11"/>
  <c r="D194" i="11"/>
  <c r="C194" i="11"/>
  <c r="E193" i="11"/>
  <c r="D193" i="11"/>
  <c r="C193" i="11"/>
  <c r="E192" i="11"/>
  <c r="D192" i="11"/>
  <c r="C192" i="11"/>
  <c r="E191" i="11"/>
  <c r="D191" i="11"/>
  <c r="C191" i="11"/>
  <c r="E190" i="11"/>
  <c r="D190" i="11"/>
  <c r="C190" i="11"/>
  <c r="E189" i="11"/>
  <c r="D189" i="11"/>
  <c r="C189" i="11"/>
  <c r="E188" i="11"/>
  <c r="D188" i="11"/>
  <c r="C188" i="11"/>
  <c r="E187" i="11"/>
  <c r="D187" i="11"/>
  <c r="C187" i="11"/>
  <c r="E186" i="11"/>
  <c r="D186" i="11"/>
  <c r="C186" i="11"/>
  <c r="E185" i="11"/>
  <c r="D185" i="11"/>
  <c r="C185" i="11"/>
  <c r="E184" i="11"/>
  <c r="D184" i="11"/>
  <c r="C184" i="11"/>
  <c r="E183" i="11"/>
  <c r="D183" i="11"/>
  <c r="C183" i="11"/>
  <c r="E182" i="11"/>
  <c r="D182" i="11"/>
  <c r="C182" i="11"/>
  <c r="E181" i="11"/>
  <c r="D181" i="11"/>
  <c r="C181" i="11"/>
  <c r="E180" i="11"/>
  <c r="D180" i="11"/>
  <c r="C180" i="11"/>
  <c r="E179" i="11"/>
  <c r="D179" i="11"/>
  <c r="C179" i="11"/>
  <c r="E178" i="11"/>
  <c r="D178" i="11"/>
  <c r="C178" i="11"/>
  <c r="E177" i="11"/>
  <c r="D177" i="11"/>
  <c r="C177" i="11"/>
  <c r="E176" i="11"/>
  <c r="D176" i="11"/>
  <c r="C176" i="11"/>
  <c r="E175" i="11"/>
  <c r="D175" i="11"/>
  <c r="C175" i="11"/>
  <c r="C203" i="11" s="1"/>
  <c r="E174" i="11"/>
  <c r="D174" i="11"/>
  <c r="C174" i="11"/>
  <c r="E173" i="11"/>
  <c r="D173" i="11"/>
  <c r="C173" i="11"/>
  <c r="E172" i="11"/>
  <c r="E203" i="11" s="1"/>
  <c r="D172" i="11"/>
  <c r="C172" i="11"/>
  <c r="E166" i="11"/>
  <c r="D166" i="11"/>
  <c r="C166" i="11"/>
  <c r="E165" i="11"/>
  <c r="D165" i="11"/>
  <c r="C165" i="11"/>
  <c r="E164" i="11"/>
  <c r="D164" i="11"/>
  <c r="C164" i="11"/>
  <c r="E163" i="11"/>
  <c r="D163" i="11"/>
  <c r="C163" i="11"/>
  <c r="E162" i="11"/>
  <c r="D162" i="11"/>
  <c r="C162" i="11"/>
  <c r="E161" i="11"/>
  <c r="D161" i="11"/>
  <c r="C161" i="11"/>
  <c r="E160" i="11"/>
  <c r="E167" i="11" s="1"/>
  <c r="D160" i="11"/>
  <c r="C160" i="11"/>
  <c r="C167" i="11" s="1"/>
  <c r="E154" i="11"/>
  <c r="D154" i="11"/>
  <c r="C154" i="11"/>
  <c r="E153" i="11"/>
  <c r="E155" i="11" s="1"/>
  <c r="D153" i="11"/>
  <c r="C153" i="11"/>
  <c r="C155" i="11" s="1"/>
  <c r="E146" i="11"/>
  <c r="D146" i="11"/>
  <c r="C146" i="11"/>
  <c r="E145" i="11"/>
  <c r="D145" i="11"/>
  <c r="C145" i="11"/>
  <c r="E144" i="11"/>
  <c r="D144" i="11"/>
  <c r="C144" i="11"/>
  <c r="E143" i="11"/>
  <c r="D143" i="11"/>
  <c r="C143" i="11"/>
  <c r="C147" i="11" s="1"/>
  <c r="E142" i="11"/>
  <c r="D142" i="11"/>
  <c r="C142" i="11"/>
  <c r="E141" i="11"/>
  <c r="E147" i="11" s="1"/>
  <c r="D141" i="11"/>
  <c r="C141" i="11"/>
  <c r="E138" i="11"/>
  <c r="D138" i="11"/>
  <c r="C138" i="11"/>
  <c r="E137" i="11"/>
  <c r="D137" i="11"/>
  <c r="C137" i="11"/>
  <c r="E136" i="11"/>
  <c r="D136" i="11"/>
  <c r="C136" i="11"/>
  <c r="E135" i="11"/>
  <c r="D135" i="11"/>
  <c r="C135" i="11"/>
  <c r="E134" i="11"/>
  <c r="D134" i="11"/>
  <c r="C134" i="11"/>
  <c r="E133" i="11"/>
  <c r="D133" i="11"/>
  <c r="C133" i="11"/>
  <c r="E132" i="11"/>
  <c r="D132" i="11"/>
  <c r="C132" i="11"/>
  <c r="E131" i="11"/>
  <c r="D131" i="11"/>
  <c r="C131" i="11"/>
  <c r="E130" i="11"/>
  <c r="D130" i="11"/>
  <c r="C130" i="11"/>
  <c r="E129" i="11"/>
  <c r="D129" i="11"/>
  <c r="C129" i="11"/>
  <c r="E128" i="11"/>
  <c r="E139" i="11" s="1"/>
  <c r="D128" i="11"/>
  <c r="C128" i="11"/>
  <c r="E127" i="11"/>
  <c r="D127" i="11"/>
  <c r="C127" i="11"/>
  <c r="C139" i="11" s="1"/>
  <c r="E126" i="11"/>
  <c r="D126" i="11"/>
  <c r="C126" i="11"/>
  <c r="C121" i="11"/>
  <c r="E115" i="11"/>
  <c r="D115" i="11"/>
  <c r="C115" i="11"/>
  <c r="E114" i="11"/>
  <c r="E116" i="11" s="1"/>
  <c r="D114" i="11"/>
  <c r="C114" i="11"/>
  <c r="C116" i="11" s="1"/>
  <c r="F108" i="11"/>
  <c r="E108" i="11"/>
  <c r="D108" i="11"/>
  <c r="C108" i="11"/>
  <c r="F107" i="11"/>
  <c r="F109" i="11" s="1"/>
  <c r="E107" i="11"/>
  <c r="E109" i="11" s="1"/>
  <c r="D107" i="11"/>
  <c r="C107" i="11"/>
  <c r="F106" i="11"/>
  <c r="E106" i="11"/>
  <c r="D106" i="11"/>
  <c r="C106" i="11"/>
  <c r="F105" i="11"/>
  <c r="E105" i="11"/>
  <c r="D105" i="11"/>
  <c r="C105" i="11"/>
  <c r="F104" i="11"/>
  <c r="E104" i="11"/>
  <c r="D104" i="11"/>
  <c r="C104" i="11"/>
  <c r="F103" i="11"/>
  <c r="E103" i="11"/>
  <c r="D103" i="11"/>
  <c r="D109" i="11" s="1"/>
  <c r="C103" i="11"/>
  <c r="C109" i="11" s="1"/>
  <c r="F102" i="11"/>
  <c r="E102" i="11"/>
  <c r="D102" i="11"/>
  <c r="C102" i="11"/>
  <c r="F101" i="11"/>
  <c r="E101" i="11"/>
  <c r="D101" i="11"/>
  <c r="C101" i="11"/>
  <c r="F100" i="11"/>
  <c r="E100" i="11"/>
  <c r="D100" i="11"/>
  <c r="C100" i="11"/>
  <c r="F99" i="11"/>
  <c r="E99" i="11"/>
  <c r="D99" i="11"/>
  <c r="C99" i="11"/>
  <c r="F98" i="11"/>
  <c r="E98" i="11"/>
  <c r="D98" i="11"/>
  <c r="C98" i="11"/>
  <c r="F97" i="11"/>
  <c r="E97" i="11"/>
  <c r="D97" i="11"/>
  <c r="C97" i="11"/>
  <c r="F96" i="11"/>
  <c r="E96" i="11"/>
  <c r="D96" i="11"/>
  <c r="C96" i="11"/>
  <c r="F95" i="11"/>
  <c r="E95" i="11"/>
  <c r="D95" i="11"/>
  <c r="C95" i="11"/>
  <c r="F94" i="11"/>
  <c r="E94" i="11"/>
  <c r="D94" i="11"/>
  <c r="C94" i="11"/>
  <c r="F93" i="11"/>
  <c r="E93" i="11"/>
  <c r="D93" i="11"/>
  <c r="C93" i="11"/>
  <c r="F92" i="11"/>
  <c r="E92" i="11"/>
  <c r="D92" i="11"/>
  <c r="C92" i="11"/>
  <c r="F91" i="11"/>
  <c r="E91" i="11"/>
  <c r="D91" i="11"/>
  <c r="C91" i="11"/>
  <c r="F90" i="11"/>
  <c r="E90" i="11"/>
  <c r="D90" i="11"/>
  <c r="C90" i="11"/>
  <c r="E83" i="11"/>
  <c r="C83" i="11"/>
  <c r="E82" i="11"/>
  <c r="C82" i="11"/>
  <c r="E81" i="11"/>
  <c r="E84" i="11" s="1"/>
  <c r="C81" i="11"/>
  <c r="C84" i="11" s="1"/>
  <c r="E75" i="11"/>
  <c r="C75" i="11"/>
  <c r="E74" i="11"/>
  <c r="C74" i="11"/>
  <c r="E73" i="11"/>
  <c r="C73" i="11"/>
  <c r="E72" i="11"/>
  <c r="C72" i="11"/>
  <c r="E71" i="11"/>
  <c r="C71" i="11"/>
  <c r="E70" i="11"/>
  <c r="C70" i="11"/>
  <c r="E69" i="11"/>
  <c r="E68" i="11" s="1"/>
  <c r="C69" i="11"/>
  <c r="C68" i="11"/>
  <c r="E67" i="11"/>
  <c r="C67" i="11"/>
  <c r="E66" i="11"/>
  <c r="C66" i="11"/>
  <c r="E65" i="11"/>
  <c r="C65" i="11"/>
  <c r="E64" i="11"/>
  <c r="C64" i="11"/>
  <c r="E63" i="11"/>
  <c r="C63" i="11"/>
  <c r="E62" i="11"/>
  <c r="C62" i="11"/>
  <c r="E61" i="11"/>
  <c r="C61" i="11"/>
  <c r="E60" i="11"/>
  <c r="C60" i="11"/>
  <c r="E59" i="11"/>
  <c r="C59" i="11"/>
  <c r="E58" i="11"/>
  <c r="C58" i="11"/>
  <c r="E57" i="11"/>
  <c r="C57" i="11"/>
  <c r="E56" i="11"/>
  <c r="C56" i="11"/>
  <c r="E55" i="11"/>
  <c r="C55" i="11"/>
  <c r="C76" i="11" s="1"/>
  <c r="E49" i="11"/>
  <c r="D49" i="11"/>
  <c r="C49" i="11"/>
  <c r="E48" i="11"/>
  <c r="D48" i="11"/>
  <c r="C48" i="11"/>
  <c r="E47" i="11"/>
  <c r="D47" i="11"/>
  <c r="C47" i="11"/>
  <c r="E45" i="11"/>
  <c r="D45" i="11"/>
  <c r="C45" i="11"/>
  <c r="E44" i="11"/>
  <c r="D44" i="11"/>
  <c r="C44" i="11"/>
  <c r="E43" i="11"/>
  <c r="D43" i="11"/>
  <c r="C43" i="11"/>
  <c r="E42" i="11"/>
  <c r="D42" i="11"/>
  <c r="C42" i="11"/>
  <c r="E40" i="11"/>
  <c r="D40" i="11"/>
  <c r="C40" i="11"/>
  <c r="E39" i="11"/>
  <c r="D39" i="11"/>
  <c r="C39" i="11"/>
  <c r="E37" i="11"/>
  <c r="D37" i="11"/>
  <c r="C37" i="11"/>
  <c r="E36" i="11"/>
  <c r="D36" i="11"/>
  <c r="C36" i="11"/>
  <c r="E35" i="11"/>
  <c r="D35" i="11"/>
  <c r="C35" i="11"/>
  <c r="E34" i="11"/>
  <c r="D34" i="11"/>
  <c r="C34" i="11"/>
  <c r="E33" i="11"/>
  <c r="D33" i="11"/>
  <c r="C33" i="11"/>
  <c r="E32" i="11"/>
  <c r="D32" i="11"/>
  <c r="C32" i="11"/>
  <c r="E31" i="11"/>
  <c r="D31" i="11"/>
  <c r="C31" i="11"/>
  <c r="E30" i="11"/>
  <c r="D30" i="11"/>
  <c r="C30" i="11"/>
  <c r="E29" i="11"/>
  <c r="D29" i="11"/>
  <c r="C29" i="11"/>
  <c r="E28" i="11"/>
  <c r="D28" i="11"/>
  <c r="C28" i="11"/>
  <c r="E26" i="11"/>
  <c r="D26" i="11"/>
  <c r="C26" i="11"/>
  <c r="E25" i="11"/>
  <c r="D25" i="11"/>
  <c r="C25" i="11"/>
  <c r="E24" i="11"/>
  <c r="D24" i="11"/>
  <c r="C24" i="11"/>
  <c r="E23" i="11"/>
  <c r="D23" i="11"/>
  <c r="C23" i="11"/>
  <c r="E22" i="11"/>
  <c r="D22" i="11"/>
  <c r="C22" i="11"/>
  <c r="E21" i="11"/>
  <c r="D21" i="11"/>
  <c r="C21" i="11"/>
  <c r="E20" i="11"/>
  <c r="D20" i="11"/>
  <c r="C20" i="11"/>
  <c r="E19" i="11"/>
  <c r="D19" i="11"/>
  <c r="C19" i="11"/>
  <c r="E18" i="11"/>
  <c r="D18" i="11"/>
  <c r="C18" i="11"/>
  <c r="E17" i="11"/>
  <c r="D17" i="11"/>
  <c r="C17" i="11"/>
  <c r="E16" i="11"/>
  <c r="D16" i="11"/>
  <c r="C16" i="11"/>
  <c r="E15" i="11"/>
  <c r="D15" i="11"/>
  <c r="C15" i="11"/>
  <c r="E14" i="11"/>
  <c r="E50" i="11" s="1"/>
  <c r="D14" i="11"/>
  <c r="C14" i="11"/>
  <c r="C50" i="11" s="1"/>
  <c r="C8" i="11"/>
  <c r="C6" i="11"/>
  <c r="A5" i="11"/>
  <c r="C4" i="11"/>
  <c r="A4" i="11"/>
  <c r="A3" i="11"/>
  <c r="A2" i="11"/>
  <c r="E344" i="10"/>
  <c r="E343" i="10"/>
  <c r="E335" i="10"/>
  <c r="E334" i="10"/>
  <c r="C321" i="10"/>
  <c r="C329" i="10" s="1"/>
  <c r="E301" i="10"/>
  <c r="D301" i="10"/>
  <c r="C301" i="10"/>
  <c r="E300" i="10"/>
  <c r="D300" i="10"/>
  <c r="C300" i="10"/>
  <c r="E299" i="10"/>
  <c r="D299" i="10"/>
  <c r="C299" i="10"/>
  <c r="E298" i="10"/>
  <c r="D298" i="10"/>
  <c r="C298" i="10"/>
  <c r="E297" i="10"/>
  <c r="D297" i="10"/>
  <c r="C297" i="10"/>
  <c r="E296" i="10"/>
  <c r="E302" i="10" s="1"/>
  <c r="D296" i="10"/>
  <c r="C296" i="10"/>
  <c r="E295" i="10"/>
  <c r="D295" i="10"/>
  <c r="C295" i="10"/>
  <c r="E289" i="10"/>
  <c r="D289" i="10"/>
  <c r="C289" i="10"/>
  <c r="E288" i="10"/>
  <c r="D288" i="10"/>
  <c r="C288" i="10"/>
  <c r="E287" i="10"/>
  <c r="E290" i="10" s="1"/>
  <c r="D287" i="10"/>
  <c r="C287" i="10"/>
  <c r="E286" i="10"/>
  <c r="D286" i="10"/>
  <c r="C286" i="10"/>
  <c r="E285" i="10"/>
  <c r="D285" i="10"/>
  <c r="C285" i="10"/>
  <c r="C290" i="10" s="1"/>
  <c r="E279" i="10"/>
  <c r="D279" i="10"/>
  <c r="C279" i="10"/>
  <c r="E278" i="10"/>
  <c r="D278" i="10"/>
  <c r="C278" i="10"/>
  <c r="E277" i="10"/>
  <c r="D277" i="10"/>
  <c r="C277" i="10"/>
  <c r="E276" i="10"/>
  <c r="D276" i="10"/>
  <c r="C276" i="10"/>
  <c r="E275" i="10"/>
  <c r="D275" i="10"/>
  <c r="C275" i="10"/>
  <c r="E274" i="10"/>
  <c r="D274" i="10"/>
  <c r="C274" i="10"/>
  <c r="E272" i="10"/>
  <c r="D272" i="10"/>
  <c r="C272" i="10"/>
  <c r="E271" i="10"/>
  <c r="D271" i="10"/>
  <c r="C271" i="10"/>
  <c r="E270" i="10"/>
  <c r="D270" i="10"/>
  <c r="C270" i="10"/>
  <c r="E269" i="10"/>
  <c r="D269" i="10"/>
  <c r="C269" i="10"/>
  <c r="E268" i="10"/>
  <c r="D268" i="10"/>
  <c r="C268" i="10"/>
  <c r="E267" i="10"/>
  <c r="D267" i="10"/>
  <c r="C267" i="10"/>
  <c r="E266" i="10"/>
  <c r="D266" i="10"/>
  <c r="C266" i="10"/>
  <c r="E265" i="10"/>
  <c r="D265" i="10"/>
  <c r="C265" i="10"/>
  <c r="E264" i="10"/>
  <c r="D264" i="10"/>
  <c r="C264" i="10"/>
  <c r="E263" i="10"/>
  <c r="D263" i="10"/>
  <c r="C263" i="10"/>
  <c r="E262" i="10"/>
  <c r="D262" i="10"/>
  <c r="C262" i="10"/>
  <c r="E261" i="10"/>
  <c r="D261" i="10"/>
  <c r="C261" i="10"/>
  <c r="E260" i="10"/>
  <c r="D260" i="10"/>
  <c r="C260" i="10"/>
  <c r="E259" i="10"/>
  <c r="D259" i="10"/>
  <c r="C259" i="10"/>
  <c r="E258" i="10"/>
  <c r="D258" i="10"/>
  <c r="C258" i="10"/>
  <c r="E257" i="10"/>
  <c r="D257" i="10"/>
  <c r="C257" i="10"/>
  <c r="E256" i="10"/>
  <c r="D256" i="10"/>
  <c r="C256" i="10"/>
  <c r="E255" i="10"/>
  <c r="D255" i="10"/>
  <c r="C255" i="10"/>
  <c r="E253" i="10"/>
  <c r="D253" i="10"/>
  <c r="C253" i="10"/>
  <c r="E252" i="10"/>
  <c r="D252" i="10"/>
  <c r="C252" i="10"/>
  <c r="E251" i="10"/>
  <c r="D251" i="10"/>
  <c r="C251" i="10"/>
  <c r="E250" i="10"/>
  <c r="D250" i="10"/>
  <c r="C250" i="10"/>
  <c r="E249" i="10"/>
  <c r="D249" i="10"/>
  <c r="C249" i="10"/>
  <c r="E248" i="10"/>
  <c r="D248" i="10"/>
  <c r="C248" i="10"/>
  <c r="E247" i="10"/>
  <c r="D247" i="10"/>
  <c r="C247" i="10"/>
  <c r="E246" i="10"/>
  <c r="D246" i="10"/>
  <c r="C246" i="10"/>
  <c r="E245" i="10"/>
  <c r="D245" i="10"/>
  <c r="C245" i="10"/>
  <c r="E244" i="10"/>
  <c r="D244" i="10"/>
  <c r="C244" i="10"/>
  <c r="E243" i="10"/>
  <c r="D243" i="10"/>
  <c r="C243" i="10"/>
  <c r="E242" i="10"/>
  <c r="D242" i="10"/>
  <c r="C242" i="10"/>
  <c r="E241" i="10"/>
  <c r="D241" i="10"/>
  <c r="C241" i="10"/>
  <c r="E240" i="10"/>
  <c r="E280" i="10" s="1"/>
  <c r="D240" i="10"/>
  <c r="C240" i="10"/>
  <c r="C280" i="10" s="1"/>
  <c r="E236" i="10"/>
  <c r="C236" i="10"/>
  <c r="C231" i="10"/>
  <c r="E230" i="10"/>
  <c r="D230" i="10"/>
  <c r="C230" i="10"/>
  <c r="E229" i="10"/>
  <c r="E231" i="10" s="1"/>
  <c r="E306" i="10" s="1"/>
  <c r="D229" i="10"/>
  <c r="C229" i="10"/>
  <c r="C224" i="10"/>
  <c r="E216" i="10"/>
  <c r="D216" i="10"/>
  <c r="C216" i="10"/>
  <c r="E215" i="10"/>
  <c r="C215" i="10"/>
  <c r="E214" i="10"/>
  <c r="D214" i="10"/>
  <c r="C214" i="10"/>
  <c r="E213" i="10"/>
  <c r="D213" i="10"/>
  <c r="C213" i="10"/>
  <c r="E212" i="10"/>
  <c r="D212" i="10"/>
  <c r="C212" i="10"/>
  <c r="E211" i="10"/>
  <c r="E217" i="10" s="1"/>
  <c r="D211" i="10"/>
  <c r="C211" i="10"/>
  <c r="E210" i="10"/>
  <c r="D210" i="10"/>
  <c r="C210" i="10"/>
  <c r="E209" i="10"/>
  <c r="D209" i="10"/>
  <c r="C209" i="10"/>
  <c r="E208" i="10"/>
  <c r="D208" i="10"/>
  <c r="C208" i="10"/>
  <c r="C217" i="10" s="1"/>
  <c r="E202" i="10"/>
  <c r="D202" i="10"/>
  <c r="C202" i="10"/>
  <c r="E201" i="10"/>
  <c r="D201" i="10"/>
  <c r="C201" i="10"/>
  <c r="E200" i="10"/>
  <c r="D200" i="10"/>
  <c r="C200" i="10"/>
  <c r="E199" i="10"/>
  <c r="D199" i="10"/>
  <c r="C199" i="10"/>
  <c r="E198" i="10"/>
  <c r="D198" i="10"/>
  <c r="C198" i="10"/>
  <c r="E197" i="10"/>
  <c r="D197" i="10"/>
  <c r="C197" i="10"/>
  <c r="E196" i="10"/>
  <c r="D196" i="10"/>
  <c r="C196" i="10"/>
  <c r="E195" i="10"/>
  <c r="D195" i="10"/>
  <c r="C195" i="10"/>
  <c r="E194" i="10"/>
  <c r="D194" i="10"/>
  <c r="C194" i="10"/>
  <c r="E193" i="10"/>
  <c r="D193" i="10"/>
  <c r="C193" i="10"/>
  <c r="E192" i="10"/>
  <c r="D192" i="10"/>
  <c r="C192" i="10"/>
  <c r="E191" i="10"/>
  <c r="D191" i="10"/>
  <c r="C191" i="10"/>
  <c r="E190" i="10"/>
  <c r="D190" i="10"/>
  <c r="C190" i="10"/>
  <c r="E189" i="10"/>
  <c r="D189" i="10"/>
  <c r="C189" i="10"/>
  <c r="E188" i="10"/>
  <c r="D188" i="10"/>
  <c r="C188" i="10"/>
  <c r="E187" i="10"/>
  <c r="D187" i="10"/>
  <c r="C187" i="10"/>
  <c r="E186" i="10"/>
  <c r="D186" i="10"/>
  <c r="C186" i="10"/>
  <c r="E185" i="10"/>
  <c r="D185" i="10"/>
  <c r="C185" i="10"/>
  <c r="E184" i="10"/>
  <c r="D184" i="10"/>
  <c r="C184" i="10"/>
  <c r="E183" i="10"/>
  <c r="D183" i="10"/>
  <c r="C183" i="10"/>
  <c r="E182" i="10"/>
  <c r="D182" i="10"/>
  <c r="C182" i="10"/>
  <c r="E181" i="10"/>
  <c r="D181" i="10"/>
  <c r="C181" i="10"/>
  <c r="E180" i="10"/>
  <c r="D180" i="10"/>
  <c r="C180" i="10"/>
  <c r="E179" i="10"/>
  <c r="D179" i="10"/>
  <c r="C179" i="10"/>
  <c r="E178" i="10"/>
  <c r="D178" i="10"/>
  <c r="C178" i="10"/>
  <c r="E177" i="10"/>
  <c r="D177" i="10"/>
  <c r="C177" i="10"/>
  <c r="E176" i="10"/>
  <c r="D176" i="10"/>
  <c r="C176" i="10"/>
  <c r="E175" i="10"/>
  <c r="D175" i="10"/>
  <c r="C175" i="10"/>
  <c r="E174" i="10"/>
  <c r="D174" i="10"/>
  <c r="C174" i="10"/>
  <c r="E173" i="10"/>
  <c r="D173" i="10"/>
  <c r="C173" i="10"/>
  <c r="E172" i="10"/>
  <c r="E203" i="10" s="1"/>
  <c r="D172" i="10"/>
  <c r="C172" i="10"/>
  <c r="C203" i="10" s="1"/>
  <c r="E166" i="10"/>
  <c r="D166" i="10"/>
  <c r="C166" i="10"/>
  <c r="E165" i="10"/>
  <c r="D165" i="10"/>
  <c r="C165" i="10"/>
  <c r="E164" i="10"/>
  <c r="D164" i="10"/>
  <c r="C164" i="10"/>
  <c r="E163" i="10"/>
  <c r="D163" i="10"/>
  <c r="C163" i="10"/>
  <c r="C167" i="10" s="1"/>
  <c r="E162" i="10"/>
  <c r="D162" i="10"/>
  <c r="C162" i="10"/>
  <c r="E161" i="10"/>
  <c r="D161" i="10"/>
  <c r="C161" i="10"/>
  <c r="E160" i="10"/>
  <c r="E167" i="10" s="1"/>
  <c r="D160" i="10"/>
  <c r="C160" i="10"/>
  <c r="C155" i="10"/>
  <c r="E154" i="10"/>
  <c r="D154" i="10"/>
  <c r="C154" i="10"/>
  <c r="E153" i="10"/>
  <c r="E155" i="10" s="1"/>
  <c r="D153" i="10"/>
  <c r="C153" i="10"/>
  <c r="E146" i="10"/>
  <c r="D146" i="10"/>
  <c r="C146" i="10"/>
  <c r="E145" i="10"/>
  <c r="D145" i="10"/>
  <c r="C145" i="10"/>
  <c r="E144" i="10"/>
  <c r="E147" i="10" s="1"/>
  <c r="D144" i="10"/>
  <c r="C144" i="10"/>
  <c r="E143" i="10"/>
  <c r="D143" i="10"/>
  <c r="C143" i="10"/>
  <c r="E142" i="10"/>
  <c r="D142" i="10"/>
  <c r="C142" i="10"/>
  <c r="E141" i="10"/>
  <c r="D141" i="10"/>
  <c r="C141" i="10"/>
  <c r="C147" i="10" s="1"/>
  <c r="E138" i="10"/>
  <c r="D138" i="10"/>
  <c r="C138" i="10"/>
  <c r="E137" i="10"/>
  <c r="D137" i="10"/>
  <c r="C137" i="10"/>
  <c r="E136" i="10"/>
  <c r="D136" i="10"/>
  <c r="C136" i="10"/>
  <c r="E135" i="10"/>
  <c r="D135" i="10"/>
  <c r="C135" i="10"/>
  <c r="E134" i="10"/>
  <c r="D134" i="10"/>
  <c r="C134" i="10"/>
  <c r="E133" i="10"/>
  <c r="D133" i="10"/>
  <c r="C133" i="10"/>
  <c r="E132" i="10"/>
  <c r="D132" i="10"/>
  <c r="C132" i="10"/>
  <c r="E131" i="10"/>
  <c r="D131" i="10"/>
  <c r="C131" i="10"/>
  <c r="E130" i="10"/>
  <c r="D130" i="10"/>
  <c r="C130" i="10"/>
  <c r="E129" i="10"/>
  <c r="D129" i="10"/>
  <c r="C129" i="10"/>
  <c r="E128" i="10"/>
  <c r="E139" i="10" s="1"/>
  <c r="E148" i="10" s="1"/>
  <c r="D128" i="10"/>
  <c r="C128" i="10"/>
  <c r="E127" i="10"/>
  <c r="D127" i="10"/>
  <c r="C127" i="10"/>
  <c r="E126" i="10"/>
  <c r="D126" i="10"/>
  <c r="C126" i="10"/>
  <c r="C139" i="10" s="1"/>
  <c r="C148" i="10" s="1"/>
  <c r="C121" i="10"/>
  <c r="C116" i="10"/>
  <c r="E115" i="10"/>
  <c r="D115" i="10"/>
  <c r="C115" i="10"/>
  <c r="E114" i="10"/>
  <c r="E116" i="10" s="1"/>
  <c r="D114" i="10"/>
  <c r="C114" i="10"/>
  <c r="F108" i="10"/>
  <c r="E108" i="10"/>
  <c r="D108" i="10"/>
  <c r="C108" i="10"/>
  <c r="F107" i="10"/>
  <c r="F109" i="10" s="1"/>
  <c r="E107" i="10"/>
  <c r="E109" i="10" s="1"/>
  <c r="D107" i="10"/>
  <c r="C107" i="10"/>
  <c r="F106" i="10"/>
  <c r="E106" i="10"/>
  <c r="D106" i="10"/>
  <c r="C106" i="10"/>
  <c r="F105" i="10"/>
  <c r="E105" i="10"/>
  <c r="D105" i="10"/>
  <c r="C105" i="10"/>
  <c r="F104" i="10"/>
  <c r="E104" i="10"/>
  <c r="D104" i="10"/>
  <c r="C104" i="10"/>
  <c r="F103" i="10"/>
  <c r="E103" i="10"/>
  <c r="D103" i="10"/>
  <c r="D109" i="10" s="1"/>
  <c r="C103" i="10"/>
  <c r="C109" i="10" s="1"/>
  <c r="F102" i="10"/>
  <c r="E102" i="10"/>
  <c r="D102" i="10"/>
  <c r="C102" i="10"/>
  <c r="F101" i="10"/>
  <c r="E101" i="10"/>
  <c r="D101" i="10"/>
  <c r="C101" i="10"/>
  <c r="F100" i="10"/>
  <c r="E100" i="10"/>
  <c r="D100" i="10"/>
  <c r="C100" i="10"/>
  <c r="F99" i="10"/>
  <c r="E99" i="10"/>
  <c r="D99" i="10"/>
  <c r="C99" i="10"/>
  <c r="F98" i="10"/>
  <c r="E98" i="10"/>
  <c r="D98" i="10"/>
  <c r="C98" i="10"/>
  <c r="F97" i="10"/>
  <c r="E97" i="10"/>
  <c r="D97" i="10"/>
  <c r="C97" i="10"/>
  <c r="F96" i="10"/>
  <c r="E96" i="10"/>
  <c r="D96" i="10"/>
  <c r="C96" i="10"/>
  <c r="F95" i="10"/>
  <c r="E95" i="10"/>
  <c r="D95" i="10"/>
  <c r="C95" i="10"/>
  <c r="F94" i="10"/>
  <c r="E94" i="10"/>
  <c r="D94" i="10"/>
  <c r="C94" i="10"/>
  <c r="F93" i="10"/>
  <c r="E93" i="10"/>
  <c r="D93" i="10"/>
  <c r="C93" i="10"/>
  <c r="F92" i="10"/>
  <c r="E92" i="10"/>
  <c r="D92" i="10"/>
  <c r="C92" i="10"/>
  <c r="F91" i="10"/>
  <c r="E91" i="10"/>
  <c r="D91" i="10"/>
  <c r="C91" i="10"/>
  <c r="F90" i="10"/>
  <c r="E90" i="10"/>
  <c r="D90" i="10"/>
  <c r="C90" i="10"/>
  <c r="E83" i="10"/>
  <c r="C83" i="10"/>
  <c r="E82" i="10"/>
  <c r="C82" i="10"/>
  <c r="C84" i="10" s="1"/>
  <c r="E81" i="10"/>
  <c r="E84" i="10" s="1"/>
  <c r="C81" i="10"/>
  <c r="E75" i="10"/>
  <c r="C75" i="10"/>
  <c r="E74" i="10"/>
  <c r="C74" i="10"/>
  <c r="E73" i="10"/>
  <c r="C73" i="10"/>
  <c r="E72" i="10"/>
  <c r="C72" i="10"/>
  <c r="E71" i="10"/>
  <c r="C71" i="10"/>
  <c r="E70" i="10"/>
  <c r="C70" i="10"/>
  <c r="E69" i="10"/>
  <c r="E68" i="10" s="1"/>
  <c r="C69" i="10"/>
  <c r="C68" i="10"/>
  <c r="C76" i="10" s="1"/>
  <c r="E67" i="10"/>
  <c r="C67" i="10"/>
  <c r="E66" i="10"/>
  <c r="C66" i="10"/>
  <c r="E65" i="10"/>
  <c r="C65" i="10"/>
  <c r="E64" i="10"/>
  <c r="C64" i="10"/>
  <c r="E63" i="10"/>
  <c r="C63" i="10"/>
  <c r="E62" i="10"/>
  <c r="C62" i="10"/>
  <c r="E61" i="10"/>
  <c r="C61" i="10"/>
  <c r="E60" i="10"/>
  <c r="C60" i="10"/>
  <c r="E59" i="10"/>
  <c r="C59" i="10"/>
  <c r="E58" i="10"/>
  <c r="C58" i="10"/>
  <c r="E57" i="10"/>
  <c r="C57" i="10"/>
  <c r="E56" i="10"/>
  <c r="C56" i="10"/>
  <c r="E55" i="10"/>
  <c r="E76" i="10" s="1"/>
  <c r="C55" i="10"/>
  <c r="E49" i="10"/>
  <c r="D49" i="10"/>
  <c r="C49" i="10"/>
  <c r="E48" i="10"/>
  <c r="D48" i="10"/>
  <c r="C48" i="10"/>
  <c r="E47" i="10"/>
  <c r="D47" i="10"/>
  <c r="C47" i="10"/>
  <c r="E45" i="10"/>
  <c r="D45" i="10"/>
  <c r="C45" i="10"/>
  <c r="E44" i="10"/>
  <c r="D44" i="10"/>
  <c r="C44" i="10"/>
  <c r="E43" i="10"/>
  <c r="D43" i="10"/>
  <c r="C43" i="10"/>
  <c r="E42" i="10"/>
  <c r="D42" i="10"/>
  <c r="C42" i="10"/>
  <c r="E40" i="10"/>
  <c r="D40" i="10"/>
  <c r="C40" i="10"/>
  <c r="E39" i="10"/>
  <c r="D39" i="10"/>
  <c r="C39" i="10"/>
  <c r="E37" i="10"/>
  <c r="D37" i="10"/>
  <c r="C37" i="10"/>
  <c r="E36" i="10"/>
  <c r="D36" i="10"/>
  <c r="C36" i="10"/>
  <c r="E35" i="10"/>
  <c r="D35" i="10"/>
  <c r="C35" i="10"/>
  <c r="E34" i="10"/>
  <c r="D34" i="10"/>
  <c r="C34" i="10"/>
  <c r="E33" i="10"/>
  <c r="D33" i="10"/>
  <c r="C33" i="10"/>
  <c r="E32" i="10"/>
  <c r="D32" i="10"/>
  <c r="C32" i="10"/>
  <c r="E31" i="10"/>
  <c r="D31" i="10"/>
  <c r="C31" i="10"/>
  <c r="E30" i="10"/>
  <c r="D30" i="10"/>
  <c r="C30" i="10"/>
  <c r="E29" i="10"/>
  <c r="D29" i="10"/>
  <c r="C29" i="10"/>
  <c r="E28" i="10"/>
  <c r="D28" i="10"/>
  <c r="C28" i="10"/>
  <c r="E26" i="10"/>
  <c r="D26" i="10"/>
  <c r="C26" i="10"/>
  <c r="E25" i="10"/>
  <c r="D25" i="10"/>
  <c r="C25" i="10"/>
  <c r="E24" i="10"/>
  <c r="D24" i="10"/>
  <c r="C24" i="10"/>
  <c r="E23" i="10"/>
  <c r="D23" i="10"/>
  <c r="C23" i="10"/>
  <c r="E22" i="10"/>
  <c r="D22" i="10"/>
  <c r="C22" i="10"/>
  <c r="E21" i="10"/>
  <c r="D21" i="10"/>
  <c r="C21" i="10"/>
  <c r="E20" i="10"/>
  <c r="D20" i="10"/>
  <c r="C20" i="10"/>
  <c r="E19" i="10"/>
  <c r="D19" i="10"/>
  <c r="C19" i="10"/>
  <c r="E18" i="10"/>
  <c r="D18" i="10"/>
  <c r="C18" i="10"/>
  <c r="E17" i="10"/>
  <c r="D17" i="10"/>
  <c r="C17" i="10"/>
  <c r="E16" i="10"/>
  <c r="D16" i="10"/>
  <c r="C16" i="10"/>
  <c r="E15" i="10"/>
  <c r="E50" i="10" s="1"/>
  <c r="E311" i="10" s="1"/>
  <c r="D15" i="10"/>
  <c r="C15" i="10"/>
  <c r="E14" i="10"/>
  <c r="D14" i="10"/>
  <c r="C14" i="10"/>
  <c r="C50" i="10" s="1"/>
  <c r="C8" i="10"/>
  <c r="C6" i="10"/>
  <c r="A5" i="10"/>
  <c r="C4" i="10"/>
  <c r="A4" i="10"/>
  <c r="A3" i="10"/>
  <c r="A2" i="10"/>
  <c r="E344" i="9"/>
  <c r="E343" i="9"/>
  <c r="E335" i="9"/>
  <c r="E334" i="9"/>
  <c r="C321" i="9"/>
  <c r="C329" i="9" s="1"/>
  <c r="E301" i="9"/>
  <c r="D301" i="9"/>
  <c r="C301" i="9"/>
  <c r="E300" i="9"/>
  <c r="D300" i="9"/>
  <c r="C300" i="9"/>
  <c r="E299" i="9"/>
  <c r="D299" i="9"/>
  <c r="C299" i="9"/>
  <c r="E298" i="9"/>
  <c r="D298" i="9"/>
  <c r="C298" i="9"/>
  <c r="E297" i="9"/>
  <c r="D297" i="9"/>
  <c r="C297" i="9"/>
  <c r="E296" i="9"/>
  <c r="E302" i="9" s="1"/>
  <c r="D296" i="9"/>
  <c r="C296" i="9"/>
  <c r="E295" i="9"/>
  <c r="D295" i="9"/>
  <c r="C295" i="9"/>
  <c r="E289" i="9"/>
  <c r="D289" i="9"/>
  <c r="C289" i="9"/>
  <c r="E288" i="9"/>
  <c r="D288" i="9"/>
  <c r="C288" i="9"/>
  <c r="E287" i="9"/>
  <c r="E290" i="9" s="1"/>
  <c r="D287" i="9"/>
  <c r="C287" i="9"/>
  <c r="E286" i="9"/>
  <c r="D286" i="9"/>
  <c r="C286" i="9"/>
  <c r="E285" i="9"/>
  <c r="D285" i="9"/>
  <c r="C285" i="9"/>
  <c r="C290" i="9" s="1"/>
  <c r="E279" i="9"/>
  <c r="D279" i="9"/>
  <c r="C279" i="9"/>
  <c r="E278" i="9"/>
  <c r="D278" i="9"/>
  <c r="C278" i="9"/>
  <c r="E277" i="9"/>
  <c r="D277" i="9"/>
  <c r="C277" i="9"/>
  <c r="E276" i="9"/>
  <c r="D276" i="9"/>
  <c r="C276" i="9"/>
  <c r="E275" i="9"/>
  <c r="D275" i="9"/>
  <c r="C275" i="9"/>
  <c r="E274" i="9"/>
  <c r="D274" i="9"/>
  <c r="C274" i="9"/>
  <c r="E272" i="9"/>
  <c r="D272" i="9"/>
  <c r="C272" i="9"/>
  <c r="E271" i="9"/>
  <c r="D271" i="9"/>
  <c r="C271" i="9"/>
  <c r="E270" i="9"/>
  <c r="D270" i="9"/>
  <c r="C270" i="9"/>
  <c r="E269" i="9"/>
  <c r="D269" i="9"/>
  <c r="C269" i="9"/>
  <c r="E268" i="9"/>
  <c r="D268" i="9"/>
  <c r="C268" i="9"/>
  <c r="E267" i="9"/>
  <c r="D267" i="9"/>
  <c r="C267" i="9"/>
  <c r="E266" i="9"/>
  <c r="D266" i="9"/>
  <c r="C266" i="9"/>
  <c r="E265" i="9"/>
  <c r="D265" i="9"/>
  <c r="C265" i="9"/>
  <c r="E264" i="9"/>
  <c r="D264" i="9"/>
  <c r="C264" i="9"/>
  <c r="E263" i="9"/>
  <c r="D263" i="9"/>
  <c r="C263" i="9"/>
  <c r="E262" i="9"/>
  <c r="D262" i="9"/>
  <c r="C262" i="9"/>
  <c r="E261" i="9"/>
  <c r="D261" i="9"/>
  <c r="C261" i="9"/>
  <c r="E260" i="9"/>
  <c r="D260" i="9"/>
  <c r="C260" i="9"/>
  <c r="E259" i="9"/>
  <c r="D259" i="9"/>
  <c r="C259" i="9"/>
  <c r="E258" i="9"/>
  <c r="D258" i="9"/>
  <c r="C258" i="9"/>
  <c r="E257" i="9"/>
  <c r="D257" i="9"/>
  <c r="C257" i="9"/>
  <c r="E256" i="9"/>
  <c r="D256" i="9"/>
  <c r="C256" i="9"/>
  <c r="E255" i="9"/>
  <c r="D255" i="9"/>
  <c r="C255" i="9"/>
  <c r="E253" i="9"/>
  <c r="D253" i="9"/>
  <c r="C253" i="9"/>
  <c r="E252" i="9"/>
  <c r="D252" i="9"/>
  <c r="C252" i="9"/>
  <c r="E251" i="9"/>
  <c r="D251" i="9"/>
  <c r="C251" i="9"/>
  <c r="E250" i="9"/>
  <c r="D250" i="9"/>
  <c r="C250" i="9"/>
  <c r="E249" i="9"/>
  <c r="D249" i="9"/>
  <c r="C249" i="9"/>
  <c r="E248" i="9"/>
  <c r="D248" i="9"/>
  <c r="C248" i="9"/>
  <c r="E247" i="9"/>
  <c r="D247" i="9"/>
  <c r="C247" i="9"/>
  <c r="E246" i="9"/>
  <c r="D246" i="9"/>
  <c r="C246" i="9"/>
  <c r="E245" i="9"/>
  <c r="D245" i="9"/>
  <c r="C245" i="9"/>
  <c r="E244" i="9"/>
  <c r="D244" i="9"/>
  <c r="C244" i="9"/>
  <c r="E243" i="9"/>
  <c r="D243" i="9"/>
  <c r="C243" i="9"/>
  <c r="E242" i="9"/>
  <c r="D242" i="9"/>
  <c r="C242" i="9"/>
  <c r="E241" i="9"/>
  <c r="D241" i="9"/>
  <c r="C241" i="9"/>
  <c r="E240" i="9"/>
  <c r="E280" i="9" s="1"/>
  <c r="D240" i="9"/>
  <c r="C240" i="9"/>
  <c r="C280" i="9" s="1"/>
  <c r="E236" i="9"/>
  <c r="C236" i="9"/>
  <c r="C231" i="9"/>
  <c r="E230" i="9"/>
  <c r="D230" i="9"/>
  <c r="C230" i="9"/>
  <c r="E229" i="9"/>
  <c r="E231" i="9" s="1"/>
  <c r="E306" i="9" s="1"/>
  <c r="D229" i="9"/>
  <c r="C229" i="9"/>
  <c r="C224" i="9"/>
  <c r="E216" i="9"/>
  <c r="D216" i="9"/>
  <c r="C216" i="9"/>
  <c r="E215" i="9"/>
  <c r="C215" i="9"/>
  <c r="E214" i="9"/>
  <c r="D214" i="9"/>
  <c r="C214" i="9"/>
  <c r="E213" i="9"/>
  <c r="D213" i="9"/>
  <c r="C213" i="9"/>
  <c r="E212" i="9"/>
  <c r="D212" i="9"/>
  <c r="C212" i="9"/>
  <c r="E211" i="9"/>
  <c r="E217" i="9" s="1"/>
  <c r="D211" i="9"/>
  <c r="C211" i="9"/>
  <c r="E210" i="9"/>
  <c r="D210" i="9"/>
  <c r="C210" i="9"/>
  <c r="E209" i="9"/>
  <c r="D209" i="9"/>
  <c r="C209" i="9"/>
  <c r="E208" i="9"/>
  <c r="D208" i="9"/>
  <c r="C208" i="9"/>
  <c r="C217" i="9" s="1"/>
  <c r="E202" i="9"/>
  <c r="D202" i="9"/>
  <c r="C202" i="9"/>
  <c r="E201" i="9"/>
  <c r="D201" i="9"/>
  <c r="C201" i="9"/>
  <c r="E200" i="9"/>
  <c r="D200" i="9"/>
  <c r="C200" i="9"/>
  <c r="E199" i="9"/>
  <c r="D199" i="9"/>
  <c r="C199" i="9"/>
  <c r="E198" i="9"/>
  <c r="D198" i="9"/>
  <c r="C198" i="9"/>
  <c r="E197" i="9"/>
  <c r="D197" i="9"/>
  <c r="C197" i="9"/>
  <c r="E196" i="9"/>
  <c r="D196" i="9"/>
  <c r="C196" i="9"/>
  <c r="E195" i="9"/>
  <c r="D195" i="9"/>
  <c r="C195" i="9"/>
  <c r="E194" i="9"/>
  <c r="D194" i="9"/>
  <c r="C194" i="9"/>
  <c r="E193" i="9"/>
  <c r="D193" i="9"/>
  <c r="C193" i="9"/>
  <c r="E192" i="9"/>
  <c r="D192" i="9"/>
  <c r="C192" i="9"/>
  <c r="E191" i="9"/>
  <c r="D191" i="9"/>
  <c r="C191" i="9"/>
  <c r="E190" i="9"/>
  <c r="D190" i="9"/>
  <c r="C190" i="9"/>
  <c r="E189" i="9"/>
  <c r="D189" i="9"/>
  <c r="C189" i="9"/>
  <c r="E188" i="9"/>
  <c r="D188" i="9"/>
  <c r="C188" i="9"/>
  <c r="E187" i="9"/>
  <c r="D187" i="9"/>
  <c r="C187" i="9"/>
  <c r="E186" i="9"/>
  <c r="D186" i="9"/>
  <c r="C186" i="9"/>
  <c r="E185" i="9"/>
  <c r="D185" i="9"/>
  <c r="C185" i="9"/>
  <c r="E184" i="9"/>
  <c r="D184" i="9"/>
  <c r="C184" i="9"/>
  <c r="E183" i="9"/>
  <c r="D183" i="9"/>
  <c r="C183" i="9"/>
  <c r="E182" i="9"/>
  <c r="D182" i="9"/>
  <c r="C182" i="9"/>
  <c r="E181" i="9"/>
  <c r="D181" i="9"/>
  <c r="C181" i="9"/>
  <c r="E180" i="9"/>
  <c r="D180" i="9"/>
  <c r="C180" i="9"/>
  <c r="E179" i="9"/>
  <c r="D179" i="9"/>
  <c r="C179" i="9"/>
  <c r="E178" i="9"/>
  <c r="D178" i="9"/>
  <c r="C178" i="9"/>
  <c r="E177" i="9"/>
  <c r="D177" i="9"/>
  <c r="C177" i="9"/>
  <c r="E176" i="9"/>
  <c r="D176" i="9"/>
  <c r="C176" i="9"/>
  <c r="E175" i="9"/>
  <c r="D175" i="9"/>
  <c r="C175" i="9"/>
  <c r="E174" i="9"/>
  <c r="D174" i="9"/>
  <c r="C174" i="9"/>
  <c r="E173" i="9"/>
  <c r="D173" i="9"/>
  <c r="C173" i="9"/>
  <c r="E172" i="9"/>
  <c r="E203" i="9" s="1"/>
  <c r="D172" i="9"/>
  <c r="C172" i="9"/>
  <c r="C203" i="9" s="1"/>
  <c r="E166" i="9"/>
  <c r="D166" i="9"/>
  <c r="C166" i="9"/>
  <c r="E165" i="9"/>
  <c r="D165" i="9"/>
  <c r="C165" i="9"/>
  <c r="E164" i="9"/>
  <c r="D164" i="9"/>
  <c r="C164" i="9"/>
  <c r="E163" i="9"/>
  <c r="D163" i="9"/>
  <c r="C163" i="9"/>
  <c r="C167" i="9" s="1"/>
  <c r="E162" i="9"/>
  <c r="D162" i="9"/>
  <c r="C162" i="9"/>
  <c r="E161" i="9"/>
  <c r="D161" i="9"/>
  <c r="C161" i="9"/>
  <c r="E160" i="9"/>
  <c r="E167" i="9" s="1"/>
  <c r="D160" i="9"/>
  <c r="C160" i="9"/>
  <c r="C155" i="9"/>
  <c r="E154" i="9"/>
  <c r="D154" i="9"/>
  <c r="C154" i="9"/>
  <c r="E153" i="9"/>
  <c r="E155" i="9" s="1"/>
  <c r="D153" i="9"/>
  <c r="C153" i="9"/>
  <c r="E146" i="9"/>
  <c r="D146" i="9"/>
  <c r="C146" i="9"/>
  <c r="E145" i="9"/>
  <c r="D145" i="9"/>
  <c r="C145" i="9"/>
  <c r="E144" i="9"/>
  <c r="E147" i="9" s="1"/>
  <c r="D144" i="9"/>
  <c r="C144" i="9"/>
  <c r="E143" i="9"/>
  <c r="D143" i="9"/>
  <c r="C143" i="9"/>
  <c r="E142" i="9"/>
  <c r="D142" i="9"/>
  <c r="C142" i="9"/>
  <c r="E141" i="9"/>
  <c r="D141" i="9"/>
  <c r="C141" i="9"/>
  <c r="C147" i="9" s="1"/>
  <c r="E138" i="9"/>
  <c r="D138" i="9"/>
  <c r="C138" i="9"/>
  <c r="E137" i="9"/>
  <c r="D137" i="9"/>
  <c r="C137" i="9"/>
  <c r="E136" i="9"/>
  <c r="D136" i="9"/>
  <c r="C136" i="9"/>
  <c r="E135" i="9"/>
  <c r="D135" i="9"/>
  <c r="C135" i="9"/>
  <c r="E134" i="9"/>
  <c r="D134" i="9"/>
  <c r="C134" i="9"/>
  <c r="E133" i="9"/>
  <c r="D133" i="9"/>
  <c r="C133" i="9"/>
  <c r="E132" i="9"/>
  <c r="D132" i="9"/>
  <c r="C132" i="9"/>
  <c r="E131" i="9"/>
  <c r="D131" i="9"/>
  <c r="C131" i="9"/>
  <c r="E130" i="9"/>
  <c r="D130" i="9"/>
  <c r="C130" i="9"/>
  <c r="E129" i="9"/>
  <c r="D129" i="9"/>
  <c r="C129" i="9"/>
  <c r="E128" i="9"/>
  <c r="E139" i="9" s="1"/>
  <c r="D128" i="9"/>
  <c r="C128" i="9"/>
  <c r="E127" i="9"/>
  <c r="D127" i="9"/>
  <c r="C127" i="9"/>
  <c r="E126" i="9"/>
  <c r="D126" i="9"/>
  <c r="C126" i="9"/>
  <c r="C139" i="9" s="1"/>
  <c r="C121" i="9"/>
  <c r="C116" i="9"/>
  <c r="E115" i="9"/>
  <c r="D115" i="9"/>
  <c r="C115" i="9"/>
  <c r="E114" i="9"/>
  <c r="E116" i="9" s="1"/>
  <c r="D114" i="9"/>
  <c r="C114" i="9"/>
  <c r="F108" i="9"/>
  <c r="E108" i="9"/>
  <c r="D108" i="9"/>
  <c r="C108" i="9"/>
  <c r="F107" i="9"/>
  <c r="F109" i="9" s="1"/>
  <c r="E107" i="9"/>
  <c r="E109" i="9" s="1"/>
  <c r="D107" i="9"/>
  <c r="C107" i="9"/>
  <c r="F106" i="9"/>
  <c r="E106" i="9"/>
  <c r="D106" i="9"/>
  <c r="C106" i="9"/>
  <c r="F105" i="9"/>
  <c r="E105" i="9"/>
  <c r="D105" i="9"/>
  <c r="C105" i="9"/>
  <c r="F104" i="9"/>
  <c r="E104" i="9"/>
  <c r="D104" i="9"/>
  <c r="C104" i="9"/>
  <c r="F103" i="9"/>
  <c r="E103" i="9"/>
  <c r="D103" i="9"/>
  <c r="D109" i="9" s="1"/>
  <c r="C103" i="9"/>
  <c r="C109" i="9" s="1"/>
  <c r="F102" i="9"/>
  <c r="E102" i="9"/>
  <c r="D102" i="9"/>
  <c r="C102" i="9"/>
  <c r="F101" i="9"/>
  <c r="E101" i="9"/>
  <c r="D101" i="9"/>
  <c r="C101" i="9"/>
  <c r="F100" i="9"/>
  <c r="E100" i="9"/>
  <c r="D100" i="9"/>
  <c r="C100" i="9"/>
  <c r="F99" i="9"/>
  <c r="E99" i="9"/>
  <c r="D99" i="9"/>
  <c r="C99" i="9"/>
  <c r="F98" i="9"/>
  <c r="E98" i="9"/>
  <c r="D98" i="9"/>
  <c r="C98" i="9"/>
  <c r="F97" i="9"/>
  <c r="E97" i="9"/>
  <c r="D97" i="9"/>
  <c r="C97" i="9"/>
  <c r="F96" i="9"/>
  <c r="E96" i="9"/>
  <c r="D96" i="9"/>
  <c r="C96" i="9"/>
  <c r="F95" i="9"/>
  <c r="E95" i="9"/>
  <c r="D95" i="9"/>
  <c r="C95" i="9"/>
  <c r="F94" i="9"/>
  <c r="E94" i="9"/>
  <c r="D94" i="9"/>
  <c r="C94" i="9"/>
  <c r="F93" i="9"/>
  <c r="E93" i="9"/>
  <c r="D93" i="9"/>
  <c r="C93" i="9"/>
  <c r="F92" i="9"/>
  <c r="E92" i="9"/>
  <c r="D92" i="9"/>
  <c r="C92" i="9"/>
  <c r="F91" i="9"/>
  <c r="E91" i="9"/>
  <c r="D91" i="9"/>
  <c r="C91" i="9"/>
  <c r="F90" i="9"/>
  <c r="E90" i="9"/>
  <c r="D90" i="9"/>
  <c r="C90" i="9"/>
  <c r="E83" i="9"/>
  <c r="C83" i="9"/>
  <c r="E82" i="9"/>
  <c r="C82" i="9"/>
  <c r="C84" i="9" s="1"/>
  <c r="E81" i="9"/>
  <c r="E84" i="9" s="1"/>
  <c r="C81" i="9"/>
  <c r="E75" i="9"/>
  <c r="C75" i="9"/>
  <c r="E74" i="9"/>
  <c r="C74" i="9"/>
  <c r="E73" i="9"/>
  <c r="C73" i="9"/>
  <c r="E72" i="9"/>
  <c r="C72" i="9"/>
  <c r="E71" i="9"/>
  <c r="C71" i="9"/>
  <c r="E70" i="9"/>
  <c r="C70" i="9"/>
  <c r="E69" i="9"/>
  <c r="E68" i="9" s="1"/>
  <c r="C69" i="9"/>
  <c r="C68" i="9"/>
  <c r="C76" i="9" s="1"/>
  <c r="E67" i="9"/>
  <c r="C67" i="9"/>
  <c r="E66" i="9"/>
  <c r="C66" i="9"/>
  <c r="E65" i="9"/>
  <c r="C65" i="9"/>
  <c r="E64" i="9"/>
  <c r="C64" i="9"/>
  <c r="E63" i="9"/>
  <c r="C63" i="9"/>
  <c r="E62" i="9"/>
  <c r="C62" i="9"/>
  <c r="E61" i="9"/>
  <c r="C61" i="9"/>
  <c r="E60" i="9"/>
  <c r="C60" i="9"/>
  <c r="E59" i="9"/>
  <c r="C59" i="9"/>
  <c r="E58" i="9"/>
  <c r="C58" i="9"/>
  <c r="E57" i="9"/>
  <c r="C57" i="9"/>
  <c r="E56" i="9"/>
  <c r="C56" i="9"/>
  <c r="E55" i="9"/>
  <c r="E76" i="9" s="1"/>
  <c r="C55" i="9"/>
  <c r="E49" i="9"/>
  <c r="D49" i="9"/>
  <c r="C49" i="9"/>
  <c r="E48" i="9"/>
  <c r="D48" i="9"/>
  <c r="C48" i="9"/>
  <c r="E47" i="9"/>
  <c r="D47" i="9"/>
  <c r="C47" i="9"/>
  <c r="E45" i="9"/>
  <c r="D45" i="9"/>
  <c r="C45" i="9"/>
  <c r="E44" i="9"/>
  <c r="D44" i="9"/>
  <c r="C44" i="9"/>
  <c r="E43" i="9"/>
  <c r="D43" i="9"/>
  <c r="C43" i="9"/>
  <c r="E42" i="9"/>
  <c r="D42" i="9"/>
  <c r="C42" i="9"/>
  <c r="E40" i="9"/>
  <c r="D40" i="9"/>
  <c r="C40" i="9"/>
  <c r="E39" i="9"/>
  <c r="D39" i="9"/>
  <c r="C39" i="9"/>
  <c r="E37" i="9"/>
  <c r="D37" i="9"/>
  <c r="C37" i="9"/>
  <c r="E36" i="9"/>
  <c r="D36" i="9"/>
  <c r="C36" i="9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E29" i="9"/>
  <c r="D29" i="9"/>
  <c r="C29" i="9"/>
  <c r="E28" i="9"/>
  <c r="D28" i="9"/>
  <c r="C28" i="9"/>
  <c r="E26" i="9"/>
  <c r="D26" i="9"/>
  <c r="C26" i="9"/>
  <c r="E25" i="9"/>
  <c r="D25" i="9"/>
  <c r="C25" i="9"/>
  <c r="E24" i="9"/>
  <c r="D24" i="9"/>
  <c r="C24" i="9"/>
  <c r="E23" i="9"/>
  <c r="D23" i="9"/>
  <c r="C23" i="9"/>
  <c r="E22" i="9"/>
  <c r="D22" i="9"/>
  <c r="C22" i="9"/>
  <c r="E21" i="9"/>
  <c r="D21" i="9"/>
  <c r="C21" i="9"/>
  <c r="E20" i="9"/>
  <c r="D20" i="9"/>
  <c r="C20" i="9"/>
  <c r="E19" i="9"/>
  <c r="D19" i="9"/>
  <c r="C19" i="9"/>
  <c r="E18" i="9"/>
  <c r="D18" i="9"/>
  <c r="C18" i="9"/>
  <c r="E17" i="9"/>
  <c r="D17" i="9"/>
  <c r="C17" i="9"/>
  <c r="E16" i="9"/>
  <c r="D16" i="9"/>
  <c r="C16" i="9"/>
  <c r="E15" i="9"/>
  <c r="D15" i="9"/>
  <c r="C15" i="9"/>
  <c r="E14" i="9"/>
  <c r="E50" i="9" s="1"/>
  <c r="D14" i="9"/>
  <c r="C14" i="9"/>
  <c r="C50" i="9" s="1"/>
  <c r="C8" i="9"/>
  <c r="C6" i="9"/>
  <c r="A5" i="9"/>
  <c r="C4" i="9"/>
  <c r="A4" i="9"/>
  <c r="A3" i="9"/>
  <c r="A2" i="9"/>
  <c r="E344" i="8"/>
  <c r="E343" i="8"/>
  <c r="E335" i="8"/>
  <c r="E334" i="8"/>
  <c r="C321" i="8"/>
  <c r="C329" i="8" s="1"/>
  <c r="E301" i="8"/>
  <c r="D301" i="8"/>
  <c r="C301" i="8"/>
  <c r="E300" i="8"/>
  <c r="D300" i="8"/>
  <c r="C300" i="8"/>
  <c r="E299" i="8"/>
  <c r="D299" i="8"/>
  <c r="C299" i="8"/>
  <c r="E298" i="8"/>
  <c r="D298" i="8"/>
  <c r="C298" i="8"/>
  <c r="E297" i="8"/>
  <c r="D297" i="8"/>
  <c r="C297" i="8"/>
  <c r="E296" i="8"/>
  <c r="D296" i="8"/>
  <c r="C296" i="8"/>
  <c r="E295" i="8"/>
  <c r="E302" i="8" s="1"/>
  <c r="D295" i="8"/>
  <c r="C295" i="8"/>
  <c r="E289" i="8"/>
  <c r="D289" i="8"/>
  <c r="C289" i="8"/>
  <c r="E288" i="8"/>
  <c r="D288" i="8"/>
  <c r="C288" i="8"/>
  <c r="E287" i="8"/>
  <c r="E290" i="8" s="1"/>
  <c r="D287" i="8"/>
  <c r="C287" i="8"/>
  <c r="E286" i="8"/>
  <c r="D286" i="8"/>
  <c r="C286" i="8"/>
  <c r="E285" i="8"/>
  <c r="D285" i="8"/>
  <c r="C285" i="8"/>
  <c r="C290" i="8" s="1"/>
  <c r="E279" i="8"/>
  <c r="D279" i="8"/>
  <c r="C279" i="8"/>
  <c r="E278" i="8"/>
  <c r="D278" i="8"/>
  <c r="C278" i="8"/>
  <c r="E277" i="8"/>
  <c r="D277" i="8"/>
  <c r="C277" i="8"/>
  <c r="E276" i="8"/>
  <c r="D276" i="8"/>
  <c r="C276" i="8"/>
  <c r="E275" i="8"/>
  <c r="D275" i="8"/>
  <c r="C275" i="8"/>
  <c r="E274" i="8"/>
  <c r="D274" i="8"/>
  <c r="C274" i="8"/>
  <c r="E272" i="8"/>
  <c r="D272" i="8"/>
  <c r="C272" i="8"/>
  <c r="E271" i="8"/>
  <c r="D271" i="8"/>
  <c r="C271" i="8"/>
  <c r="E270" i="8"/>
  <c r="D270" i="8"/>
  <c r="C270" i="8"/>
  <c r="E269" i="8"/>
  <c r="D269" i="8"/>
  <c r="C269" i="8"/>
  <c r="E268" i="8"/>
  <c r="D268" i="8"/>
  <c r="C268" i="8"/>
  <c r="E267" i="8"/>
  <c r="D267" i="8"/>
  <c r="C267" i="8"/>
  <c r="E266" i="8"/>
  <c r="D266" i="8"/>
  <c r="C266" i="8"/>
  <c r="E265" i="8"/>
  <c r="D265" i="8"/>
  <c r="C265" i="8"/>
  <c r="E264" i="8"/>
  <c r="D264" i="8"/>
  <c r="C264" i="8"/>
  <c r="E263" i="8"/>
  <c r="D263" i="8"/>
  <c r="C263" i="8"/>
  <c r="E262" i="8"/>
  <c r="D262" i="8"/>
  <c r="C262" i="8"/>
  <c r="E261" i="8"/>
  <c r="D261" i="8"/>
  <c r="C261" i="8"/>
  <c r="E260" i="8"/>
  <c r="D260" i="8"/>
  <c r="C260" i="8"/>
  <c r="E259" i="8"/>
  <c r="D259" i="8"/>
  <c r="C259" i="8"/>
  <c r="E258" i="8"/>
  <c r="D258" i="8"/>
  <c r="C258" i="8"/>
  <c r="E257" i="8"/>
  <c r="D257" i="8"/>
  <c r="C257" i="8"/>
  <c r="E256" i="8"/>
  <c r="D256" i="8"/>
  <c r="C256" i="8"/>
  <c r="E255" i="8"/>
  <c r="D255" i="8"/>
  <c r="C255" i="8"/>
  <c r="E253" i="8"/>
  <c r="D253" i="8"/>
  <c r="C253" i="8"/>
  <c r="E252" i="8"/>
  <c r="D252" i="8"/>
  <c r="C252" i="8"/>
  <c r="E251" i="8"/>
  <c r="D251" i="8"/>
  <c r="C251" i="8"/>
  <c r="E250" i="8"/>
  <c r="D250" i="8"/>
  <c r="C250" i="8"/>
  <c r="E249" i="8"/>
  <c r="D249" i="8"/>
  <c r="C249" i="8"/>
  <c r="E248" i="8"/>
  <c r="D248" i="8"/>
  <c r="C248" i="8"/>
  <c r="E247" i="8"/>
  <c r="D247" i="8"/>
  <c r="C247" i="8"/>
  <c r="E246" i="8"/>
  <c r="D246" i="8"/>
  <c r="C246" i="8"/>
  <c r="E245" i="8"/>
  <c r="D245" i="8"/>
  <c r="C245" i="8"/>
  <c r="E244" i="8"/>
  <c r="D244" i="8"/>
  <c r="C244" i="8"/>
  <c r="E243" i="8"/>
  <c r="D243" i="8"/>
  <c r="C243" i="8"/>
  <c r="E242" i="8"/>
  <c r="D242" i="8"/>
  <c r="C242" i="8"/>
  <c r="E241" i="8"/>
  <c r="D241" i="8"/>
  <c r="C241" i="8"/>
  <c r="E240" i="8"/>
  <c r="E280" i="8" s="1"/>
  <c r="D240" i="8"/>
  <c r="C240" i="8"/>
  <c r="C280" i="8" s="1"/>
  <c r="E236" i="8"/>
  <c r="C236" i="8"/>
  <c r="C231" i="8"/>
  <c r="E230" i="8"/>
  <c r="D230" i="8"/>
  <c r="C230" i="8"/>
  <c r="E229" i="8"/>
  <c r="E231" i="8" s="1"/>
  <c r="D229" i="8"/>
  <c r="C229" i="8"/>
  <c r="C224" i="8"/>
  <c r="E216" i="8"/>
  <c r="D216" i="8"/>
  <c r="C216" i="8"/>
  <c r="E215" i="8"/>
  <c r="C215" i="8"/>
  <c r="E214" i="8"/>
  <c r="D214" i="8"/>
  <c r="C214" i="8"/>
  <c r="E213" i="8"/>
  <c r="D213" i="8"/>
  <c r="C213" i="8"/>
  <c r="E212" i="8"/>
  <c r="D212" i="8"/>
  <c r="C212" i="8"/>
  <c r="E211" i="8"/>
  <c r="E217" i="8" s="1"/>
  <c r="D211" i="8"/>
  <c r="C211" i="8"/>
  <c r="E210" i="8"/>
  <c r="D210" i="8"/>
  <c r="C210" i="8"/>
  <c r="E209" i="8"/>
  <c r="D209" i="8"/>
  <c r="C209" i="8"/>
  <c r="E208" i="8"/>
  <c r="D208" i="8"/>
  <c r="C208" i="8"/>
  <c r="C217" i="8" s="1"/>
  <c r="E202" i="8"/>
  <c r="D202" i="8"/>
  <c r="C202" i="8"/>
  <c r="E201" i="8"/>
  <c r="D201" i="8"/>
  <c r="C201" i="8"/>
  <c r="E200" i="8"/>
  <c r="D200" i="8"/>
  <c r="C200" i="8"/>
  <c r="E199" i="8"/>
  <c r="D199" i="8"/>
  <c r="C199" i="8"/>
  <c r="E198" i="8"/>
  <c r="D198" i="8"/>
  <c r="C198" i="8"/>
  <c r="E197" i="8"/>
  <c r="D197" i="8"/>
  <c r="C197" i="8"/>
  <c r="E196" i="8"/>
  <c r="D196" i="8"/>
  <c r="C196" i="8"/>
  <c r="E195" i="8"/>
  <c r="D195" i="8"/>
  <c r="C195" i="8"/>
  <c r="E194" i="8"/>
  <c r="D194" i="8"/>
  <c r="C194" i="8"/>
  <c r="E193" i="8"/>
  <c r="D193" i="8"/>
  <c r="C193" i="8"/>
  <c r="E192" i="8"/>
  <c r="D192" i="8"/>
  <c r="C192" i="8"/>
  <c r="E191" i="8"/>
  <c r="D191" i="8"/>
  <c r="C191" i="8"/>
  <c r="E190" i="8"/>
  <c r="D190" i="8"/>
  <c r="C190" i="8"/>
  <c r="E189" i="8"/>
  <c r="D189" i="8"/>
  <c r="C189" i="8"/>
  <c r="E188" i="8"/>
  <c r="D188" i="8"/>
  <c r="C188" i="8"/>
  <c r="E187" i="8"/>
  <c r="D187" i="8"/>
  <c r="C187" i="8"/>
  <c r="E186" i="8"/>
  <c r="D186" i="8"/>
  <c r="C186" i="8"/>
  <c r="E185" i="8"/>
  <c r="D185" i="8"/>
  <c r="C185" i="8"/>
  <c r="E184" i="8"/>
  <c r="D184" i="8"/>
  <c r="C184" i="8"/>
  <c r="E183" i="8"/>
  <c r="D183" i="8"/>
  <c r="C183" i="8"/>
  <c r="E182" i="8"/>
  <c r="D182" i="8"/>
  <c r="C182" i="8"/>
  <c r="E181" i="8"/>
  <c r="D181" i="8"/>
  <c r="C181" i="8"/>
  <c r="E180" i="8"/>
  <c r="D180" i="8"/>
  <c r="C180" i="8"/>
  <c r="E179" i="8"/>
  <c r="D179" i="8"/>
  <c r="C179" i="8"/>
  <c r="E178" i="8"/>
  <c r="D178" i="8"/>
  <c r="C178" i="8"/>
  <c r="E177" i="8"/>
  <c r="D177" i="8"/>
  <c r="C177" i="8"/>
  <c r="E176" i="8"/>
  <c r="D176" i="8"/>
  <c r="C176" i="8"/>
  <c r="E175" i="8"/>
  <c r="D175" i="8"/>
  <c r="C175" i="8"/>
  <c r="E174" i="8"/>
  <c r="D174" i="8"/>
  <c r="C174" i="8"/>
  <c r="E173" i="8"/>
  <c r="D173" i="8"/>
  <c r="C173" i="8"/>
  <c r="E172" i="8"/>
  <c r="E203" i="8" s="1"/>
  <c r="D172" i="8"/>
  <c r="C172" i="8"/>
  <c r="C203" i="8" s="1"/>
  <c r="E166" i="8"/>
  <c r="D166" i="8"/>
  <c r="C166" i="8"/>
  <c r="E165" i="8"/>
  <c r="D165" i="8"/>
  <c r="C165" i="8"/>
  <c r="E164" i="8"/>
  <c r="D164" i="8"/>
  <c r="C164" i="8"/>
  <c r="E163" i="8"/>
  <c r="D163" i="8"/>
  <c r="C163" i="8"/>
  <c r="C167" i="8" s="1"/>
  <c r="E162" i="8"/>
  <c r="D162" i="8"/>
  <c r="C162" i="8"/>
  <c r="E161" i="8"/>
  <c r="D161" i="8"/>
  <c r="C161" i="8"/>
  <c r="E160" i="8"/>
  <c r="E167" i="8" s="1"/>
  <c r="D160" i="8"/>
  <c r="C160" i="8"/>
  <c r="C155" i="8"/>
  <c r="E154" i="8"/>
  <c r="D154" i="8"/>
  <c r="C154" i="8"/>
  <c r="E153" i="8"/>
  <c r="E155" i="8" s="1"/>
  <c r="D153" i="8"/>
  <c r="C153" i="8"/>
  <c r="E146" i="8"/>
  <c r="D146" i="8"/>
  <c r="C146" i="8"/>
  <c r="E145" i="8"/>
  <c r="D145" i="8"/>
  <c r="C145" i="8"/>
  <c r="E144" i="8"/>
  <c r="E147" i="8" s="1"/>
  <c r="D144" i="8"/>
  <c r="C144" i="8"/>
  <c r="E143" i="8"/>
  <c r="D143" i="8"/>
  <c r="C143" i="8"/>
  <c r="E142" i="8"/>
  <c r="D142" i="8"/>
  <c r="C142" i="8"/>
  <c r="E141" i="8"/>
  <c r="D141" i="8"/>
  <c r="C141" i="8"/>
  <c r="C147" i="8" s="1"/>
  <c r="E138" i="8"/>
  <c r="D138" i="8"/>
  <c r="C138" i="8"/>
  <c r="E137" i="8"/>
  <c r="D137" i="8"/>
  <c r="C137" i="8"/>
  <c r="E136" i="8"/>
  <c r="D136" i="8"/>
  <c r="C136" i="8"/>
  <c r="E135" i="8"/>
  <c r="D135" i="8"/>
  <c r="C135" i="8"/>
  <c r="E134" i="8"/>
  <c r="D134" i="8"/>
  <c r="C134" i="8"/>
  <c r="E133" i="8"/>
  <c r="D133" i="8"/>
  <c r="C133" i="8"/>
  <c r="E132" i="8"/>
  <c r="D132" i="8"/>
  <c r="C132" i="8"/>
  <c r="E131" i="8"/>
  <c r="D131" i="8"/>
  <c r="C131" i="8"/>
  <c r="E130" i="8"/>
  <c r="D130" i="8"/>
  <c r="C130" i="8"/>
  <c r="E129" i="8"/>
  <c r="D129" i="8"/>
  <c r="C129" i="8"/>
  <c r="E128" i="8"/>
  <c r="E139" i="8" s="1"/>
  <c r="D128" i="8"/>
  <c r="C128" i="8"/>
  <c r="E127" i="8"/>
  <c r="D127" i="8"/>
  <c r="C127" i="8"/>
  <c r="E126" i="8"/>
  <c r="D126" i="8"/>
  <c r="C126" i="8"/>
  <c r="C139" i="8" s="1"/>
  <c r="C148" i="8" s="1"/>
  <c r="C121" i="8"/>
  <c r="C116" i="8"/>
  <c r="E115" i="8"/>
  <c r="D115" i="8"/>
  <c r="C115" i="8"/>
  <c r="E114" i="8"/>
  <c r="E116" i="8" s="1"/>
  <c r="D114" i="8"/>
  <c r="C114" i="8"/>
  <c r="F108" i="8"/>
  <c r="E108" i="8"/>
  <c r="D108" i="8"/>
  <c r="C108" i="8"/>
  <c r="F107" i="8"/>
  <c r="F109" i="8" s="1"/>
  <c r="E107" i="8"/>
  <c r="E109" i="8" s="1"/>
  <c r="D107" i="8"/>
  <c r="C107" i="8"/>
  <c r="F106" i="8"/>
  <c r="E106" i="8"/>
  <c r="D106" i="8"/>
  <c r="C106" i="8"/>
  <c r="F105" i="8"/>
  <c r="E105" i="8"/>
  <c r="D105" i="8"/>
  <c r="C105" i="8"/>
  <c r="F104" i="8"/>
  <c r="E104" i="8"/>
  <c r="D104" i="8"/>
  <c r="C104" i="8"/>
  <c r="F103" i="8"/>
  <c r="E103" i="8"/>
  <c r="D103" i="8"/>
  <c r="D109" i="8" s="1"/>
  <c r="C103" i="8"/>
  <c r="C109" i="8" s="1"/>
  <c r="F102" i="8"/>
  <c r="E102" i="8"/>
  <c r="D102" i="8"/>
  <c r="C102" i="8"/>
  <c r="F101" i="8"/>
  <c r="E101" i="8"/>
  <c r="D101" i="8"/>
  <c r="C101" i="8"/>
  <c r="F100" i="8"/>
  <c r="E100" i="8"/>
  <c r="D100" i="8"/>
  <c r="C100" i="8"/>
  <c r="F99" i="8"/>
  <c r="E99" i="8"/>
  <c r="D99" i="8"/>
  <c r="C99" i="8"/>
  <c r="F98" i="8"/>
  <c r="E98" i="8"/>
  <c r="D98" i="8"/>
  <c r="C98" i="8"/>
  <c r="F97" i="8"/>
  <c r="E97" i="8"/>
  <c r="D97" i="8"/>
  <c r="C97" i="8"/>
  <c r="F96" i="8"/>
  <c r="E96" i="8"/>
  <c r="D96" i="8"/>
  <c r="C96" i="8"/>
  <c r="F95" i="8"/>
  <c r="E95" i="8"/>
  <c r="D95" i="8"/>
  <c r="C95" i="8"/>
  <c r="F94" i="8"/>
  <c r="E94" i="8"/>
  <c r="D94" i="8"/>
  <c r="C94" i="8"/>
  <c r="F93" i="8"/>
  <c r="E93" i="8"/>
  <c r="D93" i="8"/>
  <c r="C93" i="8"/>
  <c r="F92" i="8"/>
  <c r="E92" i="8"/>
  <c r="D92" i="8"/>
  <c r="C92" i="8"/>
  <c r="F91" i="8"/>
  <c r="E91" i="8"/>
  <c r="D91" i="8"/>
  <c r="C91" i="8"/>
  <c r="F90" i="8"/>
  <c r="E90" i="8"/>
  <c r="D90" i="8"/>
  <c r="C90" i="8"/>
  <c r="E83" i="8"/>
  <c r="C83" i="8"/>
  <c r="E82" i="8"/>
  <c r="C82" i="8"/>
  <c r="C84" i="8" s="1"/>
  <c r="E81" i="8"/>
  <c r="E84" i="8" s="1"/>
  <c r="C81" i="8"/>
  <c r="E75" i="8"/>
  <c r="C75" i="8"/>
  <c r="E74" i="8"/>
  <c r="C74" i="8"/>
  <c r="E73" i="8"/>
  <c r="C73" i="8"/>
  <c r="E72" i="8"/>
  <c r="C72" i="8"/>
  <c r="E71" i="8"/>
  <c r="C71" i="8"/>
  <c r="E70" i="8"/>
  <c r="C70" i="8"/>
  <c r="E69" i="8"/>
  <c r="E68" i="8" s="1"/>
  <c r="C69" i="8"/>
  <c r="C68" i="8"/>
  <c r="C76" i="8" s="1"/>
  <c r="E67" i="8"/>
  <c r="C67" i="8"/>
  <c r="E66" i="8"/>
  <c r="C66" i="8"/>
  <c r="E65" i="8"/>
  <c r="C65" i="8"/>
  <c r="E64" i="8"/>
  <c r="C64" i="8"/>
  <c r="E63" i="8"/>
  <c r="C63" i="8"/>
  <c r="E62" i="8"/>
  <c r="C62" i="8"/>
  <c r="E61" i="8"/>
  <c r="C61" i="8"/>
  <c r="E60" i="8"/>
  <c r="C60" i="8"/>
  <c r="E59" i="8"/>
  <c r="C59" i="8"/>
  <c r="E58" i="8"/>
  <c r="C58" i="8"/>
  <c r="E57" i="8"/>
  <c r="C57" i="8"/>
  <c r="E56" i="8"/>
  <c r="C56" i="8"/>
  <c r="E55" i="8"/>
  <c r="E76" i="8" s="1"/>
  <c r="C55" i="8"/>
  <c r="E49" i="8"/>
  <c r="D49" i="8"/>
  <c r="C49" i="8"/>
  <c r="E48" i="8"/>
  <c r="D48" i="8"/>
  <c r="C48" i="8"/>
  <c r="E47" i="8"/>
  <c r="D47" i="8"/>
  <c r="C47" i="8"/>
  <c r="E45" i="8"/>
  <c r="D45" i="8"/>
  <c r="C45" i="8"/>
  <c r="E44" i="8"/>
  <c r="D44" i="8"/>
  <c r="C44" i="8"/>
  <c r="E43" i="8"/>
  <c r="D43" i="8"/>
  <c r="C43" i="8"/>
  <c r="E42" i="8"/>
  <c r="D42" i="8"/>
  <c r="C42" i="8"/>
  <c r="E40" i="8"/>
  <c r="D40" i="8"/>
  <c r="C40" i="8"/>
  <c r="E39" i="8"/>
  <c r="D39" i="8"/>
  <c r="C39" i="8"/>
  <c r="E37" i="8"/>
  <c r="D37" i="8"/>
  <c r="C37" i="8"/>
  <c r="E36" i="8"/>
  <c r="D36" i="8"/>
  <c r="C36" i="8"/>
  <c r="E35" i="8"/>
  <c r="D35" i="8"/>
  <c r="C35" i="8"/>
  <c r="E34" i="8"/>
  <c r="D34" i="8"/>
  <c r="C34" i="8"/>
  <c r="E33" i="8"/>
  <c r="D33" i="8"/>
  <c r="C33" i="8"/>
  <c r="E32" i="8"/>
  <c r="D32" i="8"/>
  <c r="C32" i="8"/>
  <c r="E31" i="8"/>
  <c r="D31" i="8"/>
  <c r="C31" i="8"/>
  <c r="E30" i="8"/>
  <c r="D30" i="8"/>
  <c r="C30" i="8"/>
  <c r="E29" i="8"/>
  <c r="D29" i="8"/>
  <c r="C29" i="8"/>
  <c r="E28" i="8"/>
  <c r="D28" i="8"/>
  <c r="C28" i="8"/>
  <c r="E26" i="8"/>
  <c r="D26" i="8"/>
  <c r="C26" i="8"/>
  <c r="E25" i="8"/>
  <c r="D25" i="8"/>
  <c r="C25" i="8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E50" i="8" s="1"/>
  <c r="D14" i="8"/>
  <c r="C14" i="8"/>
  <c r="C50" i="8" s="1"/>
  <c r="C8" i="8"/>
  <c r="C6" i="8"/>
  <c r="A5" i="8"/>
  <c r="C4" i="8"/>
  <c r="A4" i="8"/>
  <c r="A3" i="8"/>
  <c r="A2" i="8"/>
  <c r="E344" i="7"/>
  <c r="E343" i="7"/>
  <c r="E335" i="7"/>
  <c r="E334" i="7"/>
  <c r="C321" i="7"/>
  <c r="C329" i="7" s="1"/>
  <c r="E301" i="7"/>
  <c r="D301" i="7"/>
  <c r="C301" i="7"/>
  <c r="E300" i="7"/>
  <c r="D300" i="7"/>
  <c r="C300" i="7"/>
  <c r="E299" i="7"/>
  <c r="D299" i="7"/>
  <c r="C299" i="7"/>
  <c r="E298" i="7"/>
  <c r="D298" i="7"/>
  <c r="C298" i="7"/>
  <c r="E297" i="7"/>
  <c r="D297" i="7"/>
  <c r="C297" i="7"/>
  <c r="E296" i="7"/>
  <c r="D296" i="7"/>
  <c r="C296" i="7"/>
  <c r="E295" i="7"/>
  <c r="E302" i="7" s="1"/>
  <c r="D295" i="7"/>
  <c r="C295" i="7"/>
  <c r="E289" i="7"/>
  <c r="D289" i="7"/>
  <c r="C289" i="7"/>
  <c r="E288" i="7"/>
  <c r="D288" i="7"/>
  <c r="C288" i="7"/>
  <c r="E287" i="7"/>
  <c r="E290" i="7" s="1"/>
  <c r="D287" i="7"/>
  <c r="C287" i="7"/>
  <c r="E286" i="7"/>
  <c r="D286" i="7"/>
  <c r="C286" i="7"/>
  <c r="C290" i="7" s="1"/>
  <c r="E285" i="7"/>
  <c r="D285" i="7"/>
  <c r="C285" i="7"/>
  <c r="E279" i="7"/>
  <c r="D279" i="7"/>
  <c r="C279" i="7"/>
  <c r="E278" i="7"/>
  <c r="D278" i="7"/>
  <c r="C278" i="7"/>
  <c r="E277" i="7"/>
  <c r="D277" i="7"/>
  <c r="C277" i="7"/>
  <c r="E276" i="7"/>
  <c r="D276" i="7"/>
  <c r="C276" i="7"/>
  <c r="E275" i="7"/>
  <c r="D275" i="7"/>
  <c r="C275" i="7"/>
  <c r="E274" i="7"/>
  <c r="D274" i="7"/>
  <c r="C274" i="7"/>
  <c r="E272" i="7"/>
  <c r="D272" i="7"/>
  <c r="C272" i="7"/>
  <c r="E271" i="7"/>
  <c r="D271" i="7"/>
  <c r="C271" i="7"/>
  <c r="E270" i="7"/>
  <c r="D270" i="7"/>
  <c r="C270" i="7"/>
  <c r="E269" i="7"/>
  <c r="D269" i="7"/>
  <c r="C269" i="7"/>
  <c r="E268" i="7"/>
  <c r="D268" i="7"/>
  <c r="C268" i="7"/>
  <c r="E267" i="7"/>
  <c r="D267" i="7"/>
  <c r="C267" i="7"/>
  <c r="E266" i="7"/>
  <c r="D266" i="7"/>
  <c r="C266" i="7"/>
  <c r="E265" i="7"/>
  <c r="D265" i="7"/>
  <c r="C265" i="7"/>
  <c r="E264" i="7"/>
  <c r="D264" i="7"/>
  <c r="C264" i="7"/>
  <c r="E263" i="7"/>
  <c r="D263" i="7"/>
  <c r="C263" i="7"/>
  <c r="E262" i="7"/>
  <c r="D262" i="7"/>
  <c r="C262" i="7"/>
  <c r="E261" i="7"/>
  <c r="D261" i="7"/>
  <c r="C261" i="7"/>
  <c r="E260" i="7"/>
  <c r="D260" i="7"/>
  <c r="C260" i="7"/>
  <c r="E259" i="7"/>
  <c r="D259" i="7"/>
  <c r="C259" i="7"/>
  <c r="E258" i="7"/>
  <c r="D258" i="7"/>
  <c r="C258" i="7"/>
  <c r="E257" i="7"/>
  <c r="D257" i="7"/>
  <c r="C257" i="7"/>
  <c r="E256" i="7"/>
  <c r="D256" i="7"/>
  <c r="C256" i="7"/>
  <c r="E255" i="7"/>
  <c r="D255" i="7"/>
  <c r="C255" i="7"/>
  <c r="E253" i="7"/>
  <c r="D253" i="7"/>
  <c r="C253" i="7"/>
  <c r="E252" i="7"/>
  <c r="D252" i="7"/>
  <c r="C252" i="7"/>
  <c r="E251" i="7"/>
  <c r="D251" i="7"/>
  <c r="C251" i="7"/>
  <c r="E250" i="7"/>
  <c r="D250" i="7"/>
  <c r="C250" i="7"/>
  <c r="E249" i="7"/>
  <c r="D249" i="7"/>
  <c r="C249" i="7"/>
  <c r="E248" i="7"/>
  <c r="D248" i="7"/>
  <c r="C248" i="7"/>
  <c r="E247" i="7"/>
  <c r="D247" i="7"/>
  <c r="C247" i="7"/>
  <c r="E246" i="7"/>
  <c r="D246" i="7"/>
  <c r="C246" i="7"/>
  <c r="E245" i="7"/>
  <c r="D245" i="7"/>
  <c r="C245" i="7"/>
  <c r="E244" i="7"/>
  <c r="D244" i="7"/>
  <c r="C244" i="7"/>
  <c r="E243" i="7"/>
  <c r="E280" i="7" s="1"/>
  <c r="D243" i="7"/>
  <c r="C243" i="7"/>
  <c r="E242" i="7"/>
  <c r="D242" i="7"/>
  <c r="C242" i="7"/>
  <c r="E241" i="7"/>
  <c r="D241" i="7"/>
  <c r="C241" i="7"/>
  <c r="E240" i="7"/>
  <c r="D240" i="7"/>
  <c r="C240" i="7"/>
  <c r="C280" i="7" s="1"/>
  <c r="E236" i="7"/>
  <c r="C236" i="7"/>
  <c r="C231" i="7"/>
  <c r="E230" i="7"/>
  <c r="D230" i="7"/>
  <c r="C230" i="7"/>
  <c r="E229" i="7"/>
  <c r="E231" i="7" s="1"/>
  <c r="E306" i="7" s="1"/>
  <c r="D229" i="7"/>
  <c r="C229" i="7"/>
  <c r="C224" i="7"/>
  <c r="E216" i="7"/>
  <c r="D216" i="7"/>
  <c r="C216" i="7"/>
  <c r="E215" i="7"/>
  <c r="C215" i="7"/>
  <c r="E214" i="7"/>
  <c r="D214" i="7"/>
  <c r="C214" i="7"/>
  <c r="E213" i="7"/>
  <c r="D213" i="7"/>
  <c r="C213" i="7"/>
  <c r="E212" i="7"/>
  <c r="D212" i="7"/>
  <c r="C212" i="7"/>
  <c r="E211" i="7"/>
  <c r="D211" i="7"/>
  <c r="C211" i="7"/>
  <c r="E210" i="7"/>
  <c r="D210" i="7"/>
  <c r="C210" i="7"/>
  <c r="C217" i="7" s="1"/>
  <c r="E209" i="7"/>
  <c r="D209" i="7"/>
  <c r="C209" i="7"/>
  <c r="E208" i="7"/>
  <c r="E217" i="7" s="1"/>
  <c r="D208" i="7"/>
  <c r="C208" i="7"/>
  <c r="E202" i="7"/>
  <c r="D202" i="7"/>
  <c r="C202" i="7"/>
  <c r="E201" i="7"/>
  <c r="D201" i="7"/>
  <c r="C201" i="7"/>
  <c r="E200" i="7"/>
  <c r="D200" i="7"/>
  <c r="C200" i="7"/>
  <c r="E199" i="7"/>
  <c r="D199" i="7"/>
  <c r="C199" i="7"/>
  <c r="E198" i="7"/>
  <c r="D198" i="7"/>
  <c r="C198" i="7"/>
  <c r="E197" i="7"/>
  <c r="D197" i="7"/>
  <c r="C197" i="7"/>
  <c r="E196" i="7"/>
  <c r="D196" i="7"/>
  <c r="C196" i="7"/>
  <c r="E195" i="7"/>
  <c r="D195" i="7"/>
  <c r="C195" i="7"/>
  <c r="E194" i="7"/>
  <c r="D194" i="7"/>
  <c r="C194" i="7"/>
  <c r="E193" i="7"/>
  <c r="D193" i="7"/>
  <c r="C193" i="7"/>
  <c r="E192" i="7"/>
  <c r="D192" i="7"/>
  <c r="C192" i="7"/>
  <c r="E191" i="7"/>
  <c r="D191" i="7"/>
  <c r="C191" i="7"/>
  <c r="E190" i="7"/>
  <c r="D190" i="7"/>
  <c r="C190" i="7"/>
  <c r="E189" i="7"/>
  <c r="D189" i="7"/>
  <c r="C189" i="7"/>
  <c r="E188" i="7"/>
  <c r="D188" i="7"/>
  <c r="C188" i="7"/>
  <c r="E187" i="7"/>
  <c r="D187" i="7"/>
  <c r="C187" i="7"/>
  <c r="E186" i="7"/>
  <c r="D186" i="7"/>
  <c r="C186" i="7"/>
  <c r="E185" i="7"/>
  <c r="D185" i="7"/>
  <c r="C185" i="7"/>
  <c r="E184" i="7"/>
  <c r="D184" i="7"/>
  <c r="C184" i="7"/>
  <c r="E183" i="7"/>
  <c r="D183" i="7"/>
  <c r="C183" i="7"/>
  <c r="E182" i="7"/>
  <c r="D182" i="7"/>
  <c r="C182" i="7"/>
  <c r="E181" i="7"/>
  <c r="D181" i="7"/>
  <c r="C181" i="7"/>
  <c r="E180" i="7"/>
  <c r="D180" i="7"/>
  <c r="C180" i="7"/>
  <c r="E179" i="7"/>
  <c r="D179" i="7"/>
  <c r="C179" i="7"/>
  <c r="E178" i="7"/>
  <c r="D178" i="7"/>
  <c r="C178" i="7"/>
  <c r="E177" i="7"/>
  <c r="D177" i="7"/>
  <c r="C177" i="7"/>
  <c r="E176" i="7"/>
  <c r="D176" i="7"/>
  <c r="C176" i="7"/>
  <c r="E175" i="7"/>
  <c r="D175" i="7"/>
  <c r="C175" i="7"/>
  <c r="C203" i="7" s="1"/>
  <c r="E174" i="7"/>
  <c r="D174" i="7"/>
  <c r="C174" i="7"/>
  <c r="E173" i="7"/>
  <c r="D173" i="7"/>
  <c r="C173" i="7"/>
  <c r="E172" i="7"/>
  <c r="E203" i="7" s="1"/>
  <c r="D172" i="7"/>
  <c r="C172" i="7"/>
  <c r="E166" i="7"/>
  <c r="D166" i="7"/>
  <c r="C166" i="7"/>
  <c r="E165" i="7"/>
  <c r="D165" i="7"/>
  <c r="C165" i="7"/>
  <c r="E164" i="7"/>
  <c r="D164" i="7"/>
  <c r="C164" i="7"/>
  <c r="E163" i="7"/>
  <c r="D163" i="7"/>
  <c r="C163" i="7"/>
  <c r="E162" i="7"/>
  <c r="D162" i="7"/>
  <c r="C162" i="7"/>
  <c r="E161" i="7"/>
  <c r="D161" i="7"/>
  <c r="C161" i="7"/>
  <c r="E160" i="7"/>
  <c r="E167" i="7" s="1"/>
  <c r="D160" i="7"/>
  <c r="C160" i="7"/>
  <c r="C167" i="7" s="1"/>
  <c r="E154" i="7"/>
  <c r="D154" i="7"/>
  <c r="C154" i="7"/>
  <c r="E153" i="7"/>
  <c r="E155" i="7" s="1"/>
  <c r="D153" i="7"/>
  <c r="C153" i="7"/>
  <c r="C155" i="7" s="1"/>
  <c r="E146" i="7"/>
  <c r="D146" i="7"/>
  <c r="C146" i="7"/>
  <c r="E145" i="7"/>
  <c r="D145" i="7"/>
  <c r="C145" i="7"/>
  <c r="E144" i="7"/>
  <c r="D144" i="7"/>
  <c r="C144" i="7"/>
  <c r="E143" i="7"/>
  <c r="D143" i="7"/>
  <c r="C143" i="7"/>
  <c r="C147" i="7" s="1"/>
  <c r="E142" i="7"/>
  <c r="D142" i="7"/>
  <c r="C142" i="7"/>
  <c r="E141" i="7"/>
  <c r="E147" i="7" s="1"/>
  <c r="D141" i="7"/>
  <c r="C141" i="7"/>
  <c r="E138" i="7"/>
  <c r="D138" i="7"/>
  <c r="C138" i="7"/>
  <c r="E137" i="7"/>
  <c r="D137" i="7"/>
  <c r="C137" i="7"/>
  <c r="E136" i="7"/>
  <c r="D136" i="7"/>
  <c r="C136" i="7"/>
  <c r="E135" i="7"/>
  <c r="D135" i="7"/>
  <c r="C135" i="7"/>
  <c r="E134" i="7"/>
  <c r="D134" i="7"/>
  <c r="C134" i="7"/>
  <c r="E133" i="7"/>
  <c r="D133" i="7"/>
  <c r="C133" i="7"/>
  <c r="E132" i="7"/>
  <c r="D132" i="7"/>
  <c r="C132" i="7"/>
  <c r="E131" i="7"/>
  <c r="D131" i="7"/>
  <c r="C131" i="7"/>
  <c r="E130" i="7"/>
  <c r="D130" i="7"/>
  <c r="C130" i="7"/>
  <c r="E129" i="7"/>
  <c r="D129" i="7"/>
  <c r="C129" i="7"/>
  <c r="E128" i="7"/>
  <c r="E139" i="7" s="1"/>
  <c r="D128" i="7"/>
  <c r="C128" i="7"/>
  <c r="E127" i="7"/>
  <c r="D127" i="7"/>
  <c r="C127" i="7"/>
  <c r="C139" i="7" s="1"/>
  <c r="E126" i="7"/>
  <c r="D126" i="7"/>
  <c r="C126" i="7"/>
  <c r="C121" i="7"/>
  <c r="E115" i="7"/>
  <c r="D115" i="7"/>
  <c r="C115" i="7"/>
  <c r="E114" i="7"/>
  <c r="E116" i="7" s="1"/>
  <c r="D114" i="7"/>
  <c r="C114" i="7"/>
  <c r="C116" i="7" s="1"/>
  <c r="F108" i="7"/>
  <c r="E108" i="7"/>
  <c r="D108" i="7"/>
  <c r="C108" i="7"/>
  <c r="F107" i="7"/>
  <c r="F109" i="7" s="1"/>
  <c r="E107" i="7"/>
  <c r="E109" i="7" s="1"/>
  <c r="D107" i="7"/>
  <c r="C107" i="7"/>
  <c r="F106" i="7"/>
  <c r="E106" i="7"/>
  <c r="D106" i="7"/>
  <c r="C106" i="7"/>
  <c r="F105" i="7"/>
  <c r="E105" i="7"/>
  <c r="D105" i="7"/>
  <c r="C105" i="7"/>
  <c r="F104" i="7"/>
  <c r="E104" i="7"/>
  <c r="D104" i="7"/>
  <c r="C104" i="7"/>
  <c r="F103" i="7"/>
  <c r="E103" i="7"/>
  <c r="D103" i="7"/>
  <c r="D109" i="7" s="1"/>
  <c r="C103" i="7"/>
  <c r="C109" i="7" s="1"/>
  <c r="F102" i="7"/>
  <c r="E102" i="7"/>
  <c r="D102" i="7"/>
  <c r="C102" i="7"/>
  <c r="F101" i="7"/>
  <c r="E101" i="7"/>
  <c r="D101" i="7"/>
  <c r="C101" i="7"/>
  <c r="F100" i="7"/>
  <c r="E100" i="7"/>
  <c r="D100" i="7"/>
  <c r="C100" i="7"/>
  <c r="F99" i="7"/>
  <c r="E99" i="7"/>
  <c r="D99" i="7"/>
  <c r="C99" i="7"/>
  <c r="F98" i="7"/>
  <c r="E98" i="7"/>
  <c r="D98" i="7"/>
  <c r="C98" i="7"/>
  <c r="F97" i="7"/>
  <c r="E97" i="7"/>
  <c r="D97" i="7"/>
  <c r="C97" i="7"/>
  <c r="F96" i="7"/>
  <c r="E96" i="7"/>
  <c r="D96" i="7"/>
  <c r="C96" i="7"/>
  <c r="F95" i="7"/>
  <c r="E95" i="7"/>
  <c r="D95" i="7"/>
  <c r="C95" i="7"/>
  <c r="F94" i="7"/>
  <c r="E94" i="7"/>
  <c r="D94" i="7"/>
  <c r="C94" i="7"/>
  <c r="F93" i="7"/>
  <c r="E93" i="7"/>
  <c r="D93" i="7"/>
  <c r="C93" i="7"/>
  <c r="F92" i="7"/>
  <c r="E92" i="7"/>
  <c r="D92" i="7"/>
  <c r="C92" i="7"/>
  <c r="F91" i="7"/>
  <c r="E91" i="7"/>
  <c r="D91" i="7"/>
  <c r="C91" i="7"/>
  <c r="F90" i="7"/>
  <c r="E90" i="7"/>
  <c r="D90" i="7"/>
  <c r="C90" i="7"/>
  <c r="E83" i="7"/>
  <c r="C83" i="7"/>
  <c r="E82" i="7"/>
  <c r="C82" i="7"/>
  <c r="E81" i="7"/>
  <c r="E84" i="7" s="1"/>
  <c r="C81" i="7"/>
  <c r="C84" i="7" s="1"/>
  <c r="E75" i="7"/>
  <c r="C75" i="7"/>
  <c r="E74" i="7"/>
  <c r="C74" i="7"/>
  <c r="E73" i="7"/>
  <c r="C73" i="7"/>
  <c r="E72" i="7"/>
  <c r="C72" i="7"/>
  <c r="E71" i="7"/>
  <c r="C71" i="7"/>
  <c r="E70" i="7"/>
  <c r="C70" i="7"/>
  <c r="E69" i="7"/>
  <c r="E68" i="7" s="1"/>
  <c r="C69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E61" i="7"/>
  <c r="C61" i="7"/>
  <c r="E60" i="7"/>
  <c r="C60" i="7"/>
  <c r="E59" i="7"/>
  <c r="C59" i="7"/>
  <c r="E58" i="7"/>
  <c r="C58" i="7"/>
  <c r="E57" i="7"/>
  <c r="C57" i="7"/>
  <c r="E56" i="7"/>
  <c r="C56" i="7"/>
  <c r="E55" i="7"/>
  <c r="C55" i="7"/>
  <c r="C76" i="7" s="1"/>
  <c r="E49" i="7"/>
  <c r="D49" i="7"/>
  <c r="C49" i="7"/>
  <c r="E48" i="7"/>
  <c r="D48" i="7"/>
  <c r="C48" i="7"/>
  <c r="E47" i="7"/>
  <c r="D47" i="7"/>
  <c r="C47" i="7"/>
  <c r="E45" i="7"/>
  <c r="D45" i="7"/>
  <c r="C45" i="7"/>
  <c r="E44" i="7"/>
  <c r="D44" i="7"/>
  <c r="C44" i="7"/>
  <c r="E43" i="7"/>
  <c r="D43" i="7"/>
  <c r="C43" i="7"/>
  <c r="E42" i="7"/>
  <c r="D42" i="7"/>
  <c r="C42" i="7"/>
  <c r="E40" i="7"/>
  <c r="D40" i="7"/>
  <c r="C40" i="7"/>
  <c r="E39" i="7"/>
  <c r="D39" i="7"/>
  <c r="C39" i="7"/>
  <c r="E37" i="7"/>
  <c r="D37" i="7"/>
  <c r="C37" i="7"/>
  <c r="E36" i="7"/>
  <c r="D36" i="7"/>
  <c r="C36" i="7"/>
  <c r="E35" i="7"/>
  <c r="D35" i="7"/>
  <c r="C35" i="7"/>
  <c r="E34" i="7"/>
  <c r="D34" i="7"/>
  <c r="C34" i="7"/>
  <c r="E33" i="7"/>
  <c r="D33" i="7"/>
  <c r="C33" i="7"/>
  <c r="E32" i="7"/>
  <c r="D32" i="7"/>
  <c r="C32" i="7"/>
  <c r="E31" i="7"/>
  <c r="D31" i="7"/>
  <c r="C31" i="7"/>
  <c r="E30" i="7"/>
  <c r="D30" i="7"/>
  <c r="C30" i="7"/>
  <c r="E29" i="7"/>
  <c r="D29" i="7"/>
  <c r="C29" i="7"/>
  <c r="E28" i="7"/>
  <c r="D28" i="7"/>
  <c r="C28" i="7"/>
  <c r="E26" i="7"/>
  <c r="D26" i="7"/>
  <c r="C26" i="7"/>
  <c r="E25" i="7"/>
  <c r="D25" i="7"/>
  <c r="C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E50" i="7" s="1"/>
  <c r="D14" i="7"/>
  <c r="C14" i="7"/>
  <c r="C50" i="7" s="1"/>
  <c r="C8" i="7"/>
  <c r="C6" i="7"/>
  <c r="A5" i="7"/>
  <c r="C4" i="7"/>
  <c r="A4" i="7"/>
  <c r="A3" i="7"/>
  <c r="A2" i="7"/>
  <c r="E344" i="6"/>
  <c r="E343" i="6"/>
  <c r="E335" i="6"/>
  <c r="E334" i="6"/>
  <c r="C321" i="6"/>
  <c r="C329" i="6" s="1"/>
  <c r="E301" i="6"/>
  <c r="D301" i="6"/>
  <c r="C301" i="6"/>
  <c r="E300" i="6"/>
  <c r="D300" i="6"/>
  <c r="C300" i="6"/>
  <c r="E299" i="6"/>
  <c r="D299" i="6"/>
  <c r="C299" i="6"/>
  <c r="E298" i="6"/>
  <c r="D298" i="6"/>
  <c r="C298" i="6"/>
  <c r="E297" i="6"/>
  <c r="D297" i="6"/>
  <c r="C297" i="6"/>
  <c r="E296" i="6"/>
  <c r="D296" i="6"/>
  <c r="C296" i="6"/>
  <c r="E295" i="6"/>
  <c r="E302" i="6" s="1"/>
  <c r="D295" i="6"/>
  <c r="C295" i="6"/>
  <c r="E289" i="6"/>
  <c r="D289" i="6"/>
  <c r="C289" i="6"/>
  <c r="E288" i="6"/>
  <c r="D288" i="6"/>
  <c r="C288" i="6"/>
  <c r="E287" i="6"/>
  <c r="E290" i="6" s="1"/>
  <c r="D287" i="6"/>
  <c r="C287" i="6"/>
  <c r="E286" i="6"/>
  <c r="D286" i="6"/>
  <c r="C286" i="6"/>
  <c r="C290" i="6" s="1"/>
  <c r="E285" i="6"/>
  <c r="D285" i="6"/>
  <c r="C285" i="6"/>
  <c r="E279" i="6"/>
  <c r="D279" i="6"/>
  <c r="C279" i="6"/>
  <c r="E278" i="6"/>
  <c r="D278" i="6"/>
  <c r="C278" i="6"/>
  <c r="E277" i="6"/>
  <c r="D277" i="6"/>
  <c r="C277" i="6"/>
  <c r="E276" i="6"/>
  <c r="D276" i="6"/>
  <c r="C276" i="6"/>
  <c r="E275" i="6"/>
  <c r="D275" i="6"/>
  <c r="C275" i="6"/>
  <c r="E274" i="6"/>
  <c r="D274" i="6"/>
  <c r="C274" i="6"/>
  <c r="E272" i="6"/>
  <c r="D272" i="6"/>
  <c r="C272" i="6"/>
  <c r="E271" i="6"/>
  <c r="D271" i="6"/>
  <c r="C271" i="6"/>
  <c r="E270" i="6"/>
  <c r="D270" i="6"/>
  <c r="C270" i="6"/>
  <c r="E269" i="6"/>
  <c r="D269" i="6"/>
  <c r="C269" i="6"/>
  <c r="E268" i="6"/>
  <c r="D268" i="6"/>
  <c r="C268" i="6"/>
  <c r="E267" i="6"/>
  <c r="D267" i="6"/>
  <c r="C267" i="6"/>
  <c r="E266" i="6"/>
  <c r="D266" i="6"/>
  <c r="C266" i="6"/>
  <c r="E265" i="6"/>
  <c r="D265" i="6"/>
  <c r="C265" i="6"/>
  <c r="E264" i="6"/>
  <c r="D264" i="6"/>
  <c r="C264" i="6"/>
  <c r="E263" i="6"/>
  <c r="D263" i="6"/>
  <c r="C263" i="6"/>
  <c r="E262" i="6"/>
  <c r="D262" i="6"/>
  <c r="C262" i="6"/>
  <c r="E261" i="6"/>
  <c r="D261" i="6"/>
  <c r="C261" i="6"/>
  <c r="E260" i="6"/>
  <c r="D260" i="6"/>
  <c r="C260" i="6"/>
  <c r="E259" i="6"/>
  <c r="D259" i="6"/>
  <c r="C259" i="6"/>
  <c r="E258" i="6"/>
  <c r="D258" i="6"/>
  <c r="C258" i="6"/>
  <c r="E257" i="6"/>
  <c r="D257" i="6"/>
  <c r="C257" i="6"/>
  <c r="E256" i="6"/>
  <c r="D256" i="6"/>
  <c r="C256" i="6"/>
  <c r="E255" i="6"/>
  <c r="D255" i="6"/>
  <c r="C255" i="6"/>
  <c r="E253" i="6"/>
  <c r="D253" i="6"/>
  <c r="C253" i="6"/>
  <c r="E252" i="6"/>
  <c r="D252" i="6"/>
  <c r="C252" i="6"/>
  <c r="E251" i="6"/>
  <c r="D251" i="6"/>
  <c r="C251" i="6"/>
  <c r="E250" i="6"/>
  <c r="D250" i="6"/>
  <c r="C250" i="6"/>
  <c r="E249" i="6"/>
  <c r="D249" i="6"/>
  <c r="C249" i="6"/>
  <c r="E248" i="6"/>
  <c r="D248" i="6"/>
  <c r="C248" i="6"/>
  <c r="E247" i="6"/>
  <c r="D247" i="6"/>
  <c r="C247" i="6"/>
  <c r="E246" i="6"/>
  <c r="D246" i="6"/>
  <c r="C246" i="6"/>
  <c r="E245" i="6"/>
  <c r="D245" i="6"/>
  <c r="C245" i="6"/>
  <c r="E244" i="6"/>
  <c r="D244" i="6"/>
  <c r="C244" i="6"/>
  <c r="E243" i="6"/>
  <c r="E280" i="6" s="1"/>
  <c r="D243" i="6"/>
  <c r="C243" i="6"/>
  <c r="E242" i="6"/>
  <c r="D242" i="6"/>
  <c r="C242" i="6"/>
  <c r="E241" i="6"/>
  <c r="D241" i="6"/>
  <c r="C241" i="6"/>
  <c r="E240" i="6"/>
  <c r="D240" i="6"/>
  <c r="C240" i="6"/>
  <c r="C280" i="6" s="1"/>
  <c r="E236" i="6"/>
  <c r="C236" i="6"/>
  <c r="C231" i="6"/>
  <c r="E230" i="6"/>
  <c r="D230" i="6"/>
  <c r="C230" i="6"/>
  <c r="E229" i="6"/>
  <c r="E231" i="6" s="1"/>
  <c r="D229" i="6"/>
  <c r="C229" i="6"/>
  <c r="C224" i="6"/>
  <c r="E216" i="6"/>
  <c r="D216" i="6"/>
  <c r="C216" i="6"/>
  <c r="E215" i="6"/>
  <c r="C215" i="6"/>
  <c r="E214" i="6"/>
  <c r="D214" i="6"/>
  <c r="C214" i="6"/>
  <c r="E213" i="6"/>
  <c r="D213" i="6"/>
  <c r="C213" i="6"/>
  <c r="E212" i="6"/>
  <c r="D212" i="6"/>
  <c r="C212" i="6"/>
  <c r="E211" i="6"/>
  <c r="D211" i="6"/>
  <c r="C211" i="6"/>
  <c r="E210" i="6"/>
  <c r="D210" i="6"/>
  <c r="C210" i="6"/>
  <c r="C217" i="6" s="1"/>
  <c r="E209" i="6"/>
  <c r="D209" i="6"/>
  <c r="C209" i="6"/>
  <c r="E208" i="6"/>
  <c r="E217" i="6" s="1"/>
  <c r="D208" i="6"/>
  <c r="C208" i="6"/>
  <c r="E202" i="6"/>
  <c r="D202" i="6"/>
  <c r="C202" i="6"/>
  <c r="E201" i="6"/>
  <c r="D201" i="6"/>
  <c r="C201" i="6"/>
  <c r="E200" i="6"/>
  <c r="D200" i="6"/>
  <c r="C200" i="6"/>
  <c r="E199" i="6"/>
  <c r="D199" i="6"/>
  <c r="C199" i="6"/>
  <c r="E198" i="6"/>
  <c r="D198" i="6"/>
  <c r="C198" i="6"/>
  <c r="E197" i="6"/>
  <c r="D197" i="6"/>
  <c r="C197" i="6"/>
  <c r="E196" i="6"/>
  <c r="D196" i="6"/>
  <c r="C196" i="6"/>
  <c r="E195" i="6"/>
  <c r="D195" i="6"/>
  <c r="C195" i="6"/>
  <c r="E194" i="6"/>
  <c r="D194" i="6"/>
  <c r="C194" i="6"/>
  <c r="E193" i="6"/>
  <c r="D193" i="6"/>
  <c r="C193" i="6"/>
  <c r="E192" i="6"/>
  <c r="D192" i="6"/>
  <c r="C192" i="6"/>
  <c r="E191" i="6"/>
  <c r="D191" i="6"/>
  <c r="C191" i="6"/>
  <c r="E190" i="6"/>
  <c r="D190" i="6"/>
  <c r="C190" i="6"/>
  <c r="E189" i="6"/>
  <c r="D189" i="6"/>
  <c r="C189" i="6"/>
  <c r="E188" i="6"/>
  <c r="D188" i="6"/>
  <c r="C188" i="6"/>
  <c r="E187" i="6"/>
  <c r="D187" i="6"/>
  <c r="C187" i="6"/>
  <c r="E186" i="6"/>
  <c r="D186" i="6"/>
  <c r="C186" i="6"/>
  <c r="E185" i="6"/>
  <c r="D185" i="6"/>
  <c r="C185" i="6"/>
  <c r="E184" i="6"/>
  <c r="D184" i="6"/>
  <c r="C184" i="6"/>
  <c r="E183" i="6"/>
  <c r="D183" i="6"/>
  <c r="C183" i="6"/>
  <c r="E182" i="6"/>
  <c r="D182" i="6"/>
  <c r="C182" i="6"/>
  <c r="E181" i="6"/>
  <c r="D181" i="6"/>
  <c r="C181" i="6"/>
  <c r="E180" i="6"/>
  <c r="D180" i="6"/>
  <c r="C180" i="6"/>
  <c r="E179" i="6"/>
  <c r="D179" i="6"/>
  <c r="C179" i="6"/>
  <c r="E178" i="6"/>
  <c r="D178" i="6"/>
  <c r="C178" i="6"/>
  <c r="E177" i="6"/>
  <c r="D177" i="6"/>
  <c r="C177" i="6"/>
  <c r="E176" i="6"/>
  <c r="D176" i="6"/>
  <c r="C176" i="6"/>
  <c r="E175" i="6"/>
  <c r="D175" i="6"/>
  <c r="C175" i="6"/>
  <c r="C203" i="6" s="1"/>
  <c r="E174" i="6"/>
  <c r="D174" i="6"/>
  <c r="C174" i="6"/>
  <c r="E173" i="6"/>
  <c r="D173" i="6"/>
  <c r="C173" i="6"/>
  <c r="E172" i="6"/>
  <c r="E203" i="6" s="1"/>
  <c r="D172" i="6"/>
  <c r="C172" i="6"/>
  <c r="E166" i="6"/>
  <c r="D166" i="6"/>
  <c r="C166" i="6"/>
  <c r="E165" i="6"/>
  <c r="D165" i="6"/>
  <c r="C165" i="6"/>
  <c r="E164" i="6"/>
  <c r="D164" i="6"/>
  <c r="C164" i="6"/>
  <c r="E163" i="6"/>
  <c r="D163" i="6"/>
  <c r="C163" i="6"/>
  <c r="E162" i="6"/>
  <c r="D162" i="6"/>
  <c r="C162" i="6"/>
  <c r="E161" i="6"/>
  <c r="D161" i="6"/>
  <c r="C161" i="6"/>
  <c r="E160" i="6"/>
  <c r="E167" i="6" s="1"/>
  <c r="D160" i="6"/>
  <c r="C160" i="6"/>
  <c r="C167" i="6" s="1"/>
  <c r="E154" i="6"/>
  <c r="D154" i="6"/>
  <c r="C154" i="6"/>
  <c r="E153" i="6"/>
  <c r="E155" i="6" s="1"/>
  <c r="D153" i="6"/>
  <c r="C153" i="6"/>
  <c r="C155" i="6" s="1"/>
  <c r="E146" i="6"/>
  <c r="D146" i="6"/>
  <c r="C146" i="6"/>
  <c r="E145" i="6"/>
  <c r="D145" i="6"/>
  <c r="C145" i="6"/>
  <c r="E144" i="6"/>
  <c r="D144" i="6"/>
  <c r="C144" i="6"/>
  <c r="E143" i="6"/>
  <c r="D143" i="6"/>
  <c r="C143" i="6"/>
  <c r="C147" i="6" s="1"/>
  <c r="E142" i="6"/>
  <c r="D142" i="6"/>
  <c r="C142" i="6"/>
  <c r="E141" i="6"/>
  <c r="E147" i="6" s="1"/>
  <c r="D141" i="6"/>
  <c r="C141" i="6"/>
  <c r="E138" i="6"/>
  <c r="D138" i="6"/>
  <c r="C138" i="6"/>
  <c r="E137" i="6"/>
  <c r="D137" i="6"/>
  <c r="C137" i="6"/>
  <c r="E136" i="6"/>
  <c r="D136" i="6"/>
  <c r="C136" i="6"/>
  <c r="E135" i="6"/>
  <c r="D135" i="6"/>
  <c r="C135" i="6"/>
  <c r="E134" i="6"/>
  <c r="D134" i="6"/>
  <c r="C134" i="6"/>
  <c r="E133" i="6"/>
  <c r="D133" i="6"/>
  <c r="C133" i="6"/>
  <c r="E132" i="6"/>
  <c r="D132" i="6"/>
  <c r="C132" i="6"/>
  <c r="E131" i="6"/>
  <c r="D131" i="6"/>
  <c r="C131" i="6"/>
  <c r="E130" i="6"/>
  <c r="D130" i="6"/>
  <c r="C130" i="6"/>
  <c r="E129" i="6"/>
  <c r="D129" i="6"/>
  <c r="C129" i="6"/>
  <c r="E128" i="6"/>
  <c r="E139" i="6" s="1"/>
  <c r="E148" i="6" s="1"/>
  <c r="D128" i="6"/>
  <c r="C128" i="6"/>
  <c r="E127" i="6"/>
  <c r="D127" i="6"/>
  <c r="C127" i="6"/>
  <c r="C139" i="6" s="1"/>
  <c r="E126" i="6"/>
  <c r="D126" i="6"/>
  <c r="C126" i="6"/>
  <c r="C121" i="6"/>
  <c r="E115" i="6"/>
  <c r="D115" i="6"/>
  <c r="C115" i="6"/>
  <c r="E114" i="6"/>
  <c r="E116" i="6" s="1"/>
  <c r="D114" i="6"/>
  <c r="C114" i="6"/>
  <c r="C116" i="6" s="1"/>
  <c r="F108" i="6"/>
  <c r="E108" i="6"/>
  <c r="D108" i="6"/>
  <c r="C108" i="6"/>
  <c r="F107" i="6"/>
  <c r="F109" i="6" s="1"/>
  <c r="E107" i="6"/>
  <c r="E109" i="6" s="1"/>
  <c r="D107" i="6"/>
  <c r="C107" i="6"/>
  <c r="F106" i="6"/>
  <c r="E106" i="6"/>
  <c r="D106" i="6"/>
  <c r="C106" i="6"/>
  <c r="F105" i="6"/>
  <c r="E105" i="6"/>
  <c r="D105" i="6"/>
  <c r="C105" i="6"/>
  <c r="F104" i="6"/>
  <c r="E104" i="6"/>
  <c r="D104" i="6"/>
  <c r="C104" i="6"/>
  <c r="F103" i="6"/>
  <c r="E103" i="6"/>
  <c r="D103" i="6"/>
  <c r="D109" i="6" s="1"/>
  <c r="C103" i="6"/>
  <c r="C109" i="6" s="1"/>
  <c r="F102" i="6"/>
  <c r="E102" i="6"/>
  <c r="D102" i="6"/>
  <c r="C102" i="6"/>
  <c r="F101" i="6"/>
  <c r="E101" i="6"/>
  <c r="D101" i="6"/>
  <c r="C101" i="6"/>
  <c r="F100" i="6"/>
  <c r="E100" i="6"/>
  <c r="D100" i="6"/>
  <c r="C100" i="6"/>
  <c r="F99" i="6"/>
  <c r="E99" i="6"/>
  <c r="D99" i="6"/>
  <c r="C99" i="6"/>
  <c r="F98" i="6"/>
  <c r="E98" i="6"/>
  <c r="D98" i="6"/>
  <c r="C98" i="6"/>
  <c r="F97" i="6"/>
  <c r="E97" i="6"/>
  <c r="D97" i="6"/>
  <c r="C97" i="6"/>
  <c r="F96" i="6"/>
  <c r="E96" i="6"/>
  <c r="D96" i="6"/>
  <c r="C96" i="6"/>
  <c r="F95" i="6"/>
  <c r="E95" i="6"/>
  <c r="D95" i="6"/>
  <c r="C95" i="6"/>
  <c r="F94" i="6"/>
  <c r="E94" i="6"/>
  <c r="D94" i="6"/>
  <c r="C94" i="6"/>
  <c r="F93" i="6"/>
  <c r="E93" i="6"/>
  <c r="D93" i="6"/>
  <c r="C93" i="6"/>
  <c r="F92" i="6"/>
  <c r="E92" i="6"/>
  <c r="D92" i="6"/>
  <c r="C92" i="6"/>
  <c r="F91" i="6"/>
  <c r="E91" i="6"/>
  <c r="D91" i="6"/>
  <c r="C91" i="6"/>
  <c r="F90" i="6"/>
  <c r="E90" i="6"/>
  <c r="D90" i="6"/>
  <c r="C90" i="6"/>
  <c r="E83" i="6"/>
  <c r="C83" i="6"/>
  <c r="E82" i="6"/>
  <c r="C82" i="6"/>
  <c r="E81" i="6"/>
  <c r="E84" i="6" s="1"/>
  <c r="C81" i="6"/>
  <c r="C84" i="6" s="1"/>
  <c r="E75" i="6"/>
  <c r="C75" i="6"/>
  <c r="E74" i="6"/>
  <c r="C74" i="6"/>
  <c r="E73" i="6"/>
  <c r="C73" i="6"/>
  <c r="E72" i="6"/>
  <c r="C72" i="6"/>
  <c r="E71" i="6"/>
  <c r="C71" i="6"/>
  <c r="E70" i="6"/>
  <c r="C70" i="6"/>
  <c r="E69" i="6"/>
  <c r="E68" i="6" s="1"/>
  <c r="C69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E61" i="6"/>
  <c r="C61" i="6"/>
  <c r="E60" i="6"/>
  <c r="C60" i="6"/>
  <c r="E59" i="6"/>
  <c r="C59" i="6"/>
  <c r="E58" i="6"/>
  <c r="C58" i="6"/>
  <c r="E57" i="6"/>
  <c r="C57" i="6"/>
  <c r="E56" i="6"/>
  <c r="C56" i="6"/>
  <c r="E55" i="6"/>
  <c r="C55" i="6"/>
  <c r="C76" i="6" s="1"/>
  <c r="E49" i="6"/>
  <c r="D49" i="6"/>
  <c r="C49" i="6"/>
  <c r="E48" i="6"/>
  <c r="D48" i="6"/>
  <c r="C48" i="6"/>
  <c r="E47" i="6"/>
  <c r="D47" i="6"/>
  <c r="C47" i="6"/>
  <c r="E45" i="6"/>
  <c r="D45" i="6"/>
  <c r="C45" i="6"/>
  <c r="E44" i="6"/>
  <c r="D44" i="6"/>
  <c r="C44" i="6"/>
  <c r="E43" i="6"/>
  <c r="D43" i="6"/>
  <c r="C43" i="6"/>
  <c r="E42" i="6"/>
  <c r="D42" i="6"/>
  <c r="C42" i="6"/>
  <c r="E40" i="6"/>
  <c r="D40" i="6"/>
  <c r="C40" i="6"/>
  <c r="E39" i="6"/>
  <c r="D39" i="6"/>
  <c r="C39" i="6"/>
  <c r="E37" i="6"/>
  <c r="D37" i="6"/>
  <c r="C37" i="6"/>
  <c r="E36" i="6"/>
  <c r="D36" i="6"/>
  <c r="C36" i="6"/>
  <c r="E35" i="6"/>
  <c r="D35" i="6"/>
  <c r="C35" i="6"/>
  <c r="E34" i="6"/>
  <c r="D34" i="6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E29" i="6"/>
  <c r="D29" i="6"/>
  <c r="C29" i="6"/>
  <c r="E28" i="6"/>
  <c r="D28" i="6"/>
  <c r="C28" i="6"/>
  <c r="E26" i="6"/>
  <c r="D26" i="6"/>
  <c r="C26" i="6"/>
  <c r="E25" i="6"/>
  <c r="D25" i="6"/>
  <c r="C25" i="6"/>
  <c r="E24" i="6"/>
  <c r="D24" i="6"/>
  <c r="C24" i="6"/>
  <c r="E23" i="6"/>
  <c r="D23" i="6"/>
  <c r="C23" i="6"/>
  <c r="E22" i="6"/>
  <c r="D22" i="6"/>
  <c r="C22" i="6"/>
  <c r="E21" i="6"/>
  <c r="D21" i="6"/>
  <c r="C21" i="6"/>
  <c r="E20" i="6"/>
  <c r="D20" i="6"/>
  <c r="C20" i="6"/>
  <c r="E19" i="6"/>
  <c r="D19" i="6"/>
  <c r="C19" i="6"/>
  <c r="E18" i="6"/>
  <c r="D18" i="6"/>
  <c r="C18" i="6"/>
  <c r="E17" i="6"/>
  <c r="D17" i="6"/>
  <c r="C17" i="6"/>
  <c r="E16" i="6"/>
  <c r="D16" i="6"/>
  <c r="C16" i="6"/>
  <c r="E15" i="6"/>
  <c r="D15" i="6"/>
  <c r="C15" i="6"/>
  <c r="E14" i="6"/>
  <c r="E50" i="6" s="1"/>
  <c r="D14" i="6"/>
  <c r="C14" i="6"/>
  <c r="C50" i="6" s="1"/>
  <c r="C8" i="6"/>
  <c r="C6" i="6"/>
  <c r="A5" i="6"/>
  <c r="C4" i="6"/>
  <c r="A4" i="6"/>
  <c r="A3" i="6"/>
  <c r="A2" i="6"/>
  <c r="E344" i="5"/>
  <c r="E343" i="5"/>
  <c r="E335" i="5"/>
  <c r="E334" i="5"/>
  <c r="C329" i="5"/>
  <c r="C321" i="5"/>
  <c r="E301" i="5"/>
  <c r="D301" i="5"/>
  <c r="C301" i="5"/>
  <c r="E300" i="5"/>
  <c r="D300" i="5"/>
  <c r="C300" i="5"/>
  <c r="E299" i="5"/>
  <c r="D299" i="5"/>
  <c r="C299" i="5"/>
  <c r="E298" i="5"/>
  <c r="D298" i="5"/>
  <c r="C298" i="5"/>
  <c r="E297" i="5"/>
  <c r="D297" i="5"/>
  <c r="C297" i="5"/>
  <c r="E296" i="5"/>
  <c r="E302" i="5" s="1"/>
  <c r="D296" i="5"/>
  <c r="C296" i="5"/>
  <c r="E295" i="5"/>
  <c r="D295" i="5"/>
  <c r="C295" i="5"/>
  <c r="E289" i="5"/>
  <c r="D289" i="5"/>
  <c r="C289" i="5"/>
  <c r="E288" i="5"/>
  <c r="D288" i="5"/>
  <c r="C288" i="5"/>
  <c r="E287" i="5"/>
  <c r="E290" i="5" s="1"/>
  <c r="D287" i="5"/>
  <c r="C287" i="5"/>
  <c r="E286" i="5"/>
  <c r="D286" i="5"/>
  <c r="C286" i="5"/>
  <c r="E285" i="5"/>
  <c r="D285" i="5"/>
  <c r="C285" i="5"/>
  <c r="C290" i="5" s="1"/>
  <c r="E279" i="5"/>
  <c r="D279" i="5"/>
  <c r="C279" i="5"/>
  <c r="E278" i="5"/>
  <c r="D278" i="5"/>
  <c r="C278" i="5"/>
  <c r="E277" i="5"/>
  <c r="D277" i="5"/>
  <c r="C277" i="5"/>
  <c r="E276" i="5"/>
  <c r="D276" i="5"/>
  <c r="C276" i="5"/>
  <c r="E275" i="5"/>
  <c r="D275" i="5"/>
  <c r="C275" i="5"/>
  <c r="E274" i="5"/>
  <c r="D274" i="5"/>
  <c r="C274" i="5"/>
  <c r="E272" i="5"/>
  <c r="D272" i="5"/>
  <c r="C272" i="5"/>
  <c r="E271" i="5"/>
  <c r="D271" i="5"/>
  <c r="C271" i="5"/>
  <c r="E270" i="5"/>
  <c r="D270" i="5"/>
  <c r="C270" i="5"/>
  <c r="E269" i="5"/>
  <c r="D269" i="5"/>
  <c r="C269" i="5"/>
  <c r="E268" i="5"/>
  <c r="D268" i="5"/>
  <c r="C268" i="5"/>
  <c r="E267" i="5"/>
  <c r="D267" i="5"/>
  <c r="C267" i="5"/>
  <c r="E266" i="5"/>
  <c r="D266" i="5"/>
  <c r="C266" i="5"/>
  <c r="E265" i="5"/>
  <c r="D265" i="5"/>
  <c r="C265" i="5"/>
  <c r="E264" i="5"/>
  <c r="D264" i="5"/>
  <c r="C264" i="5"/>
  <c r="E263" i="5"/>
  <c r="D263" i="5"/>
  <c r="C263" i="5"/>
  <c r="E262" i="5"/>
  <c r="D262" i="5"/>
  <c r="C262" i="5"/>
  <c r="E261" i="5"/>
  <c r="D261" i="5"/>
  <c r="C261" i="5"/>
  <c r="E260" i="5"/>
  <c r="D260" i="5"/>
  <c r="C260" i="5"/>
  <c r="E259" i="5"/>
  <c r="D259" i="5"/>
  <c r="C259" i="5"/>
  <c r="E258" i="5"/>
  <c r="D258" i="5"/>
  <c r="C258" i="5"/>
  <c r="E257" i="5"/>
  <c r="D257" i="5"/>
  <c r="C257" i="5"/>
  <c r="E256" i="5"/>
  <c r="D256" i="5"/>
  <c r="C256" i="5"/>
  <c r="E255" i="5"/>
  <c r="D255" i="5"/>
  <c r="C255" i="5"/>
  <c r="E253" i="5"/>
  <c r="D253" i="5"/>
  <c r="C253" i="5"/>
  <c r="E252" i="5"/>
  <c r="D252" i="5"/>
  <c r="C252" i="5"/>
  <c r="E251" i="5"/>
  <c r="D251" i="5"/>
  <c r="C251" i="5"/>
  <c r="E250" i="5"/>
  <c r="D250" i="5"/>
  <c r="C250" i="5"/>
  <c r="E249" i="5"/>
  <c r="D249" i="5"/>
  <c r="C249" i="5"/>
  <c r="E248" i="5"/>
  <c r="D248" i="5"/>
  <c r="C248" i="5"/>
  <c r="E247" i="5"/>
  <c r="D247" i="5"/>
  <c r="C247" i="5"/>
  <c r="E246" i="5"/>
  <c r="D246" i="5"/>
  <c r="C246" i="5"/>
  <c r="E245" i="5"/>
  <c r="D245" i="5"/>
  <c r="C245" i="5"/>
  <c r="E244" i="5"/>
  <c r="D244" i="5"/>
  <c r="C244" i="5"/>
  <c r="E243" i="5"/>
  <c r="D243" i="5"/>
  <c r="C243" i="5"/>
  <c r="E242" i="5"/>
  <c r="D242" i="5"/>
  <c r="C242" i="5"/>
  <c r="E241" i="5"/>
  <c r="D241" i="5"/>
  <c r="C241" i="5"/>
  <c r="E240" i="5"/>
  <c r="E280" i="5" s="1"/>
  <c r="D240" i="5"/>
  <c r="C240" i="5"/>
  <c r="C280" i="5" s="1"/>
  <c r="E236" i="5"/>
  <c r="C236" i="5"/>
  <c r="C231" i="5"/>
  <c r="E230" i="5"/>
  <c r="D230" i="5"/>
  <c r="C230" i="5"/>
  <c r="E229" i="5"/>
  <c r="E231" i="5" s="1"/>
  <c r="E306" i="5" s="1"/>
  <c r="D229" i="5"/>
  <c r="C229" i="5"/>
  <c r="C224" i="5"/>
  <c r="E216" i="5"/>
  <c r="D216" i="5"/>
  <c r="C216" i="5"/>
  <c r="E215" i="5"/>
  <c r="C215" i="5"/>
  <c r="E214" i="5"/>
  <c r="D214" i="5"/>
  <c r="C214" i="5"/>
  <c r="E213" i="5"/>
  <c r="D213" i="5"/>
  <c r="C213" i="5"/>
  <c r="E212" i="5"/>
  <c r="D212" i="5"/>
  <c r="C212" i="5"/>
  <c r="E211" i="5"/>
  <c r="E217" i="5" s="1"/>
  <c r="D211" i="5"/>
  <c r="C211" i="5"/>
  <c r="E210" i="5"/>
  <c r="D210" i="5"/>
  <c r="C210" i="5"/>
  <c r="E209" i="5"/>
  <c r="D209" i="5"/>
  <c r="C209" i="5"/>
  <c r="C217" i="5" s="1"/>
  <c r="E208" i="5"/>
  <c r="D208" i="5"/>
  <c r="C208" i="5"/>
  <c r="E202" i="5"/>
  <c r="D202" i="5"/>
  <c r="C202" i="5"/>
  <c r="E201" i="5"/>
  <c r="D201" i="5"/>
  <c r="C201" i="5"/>
  <c r="E200" i="5"/>
  <c r="D200" i="5"/>
  <c r="C200" i="5"/>
  <c r="E199" i="5"/>
  <c r="D199" i="5"/>
  <c r="C199" i="5"/>
  <c r="E198" i="5"/>
  <c r="D198" i="5"/>
  <c r="C198" i="5"/>
  <c r="E197" i="5"/>
  <c r="D197" i="5"/>
  <c r="C197" i="5"/>
  <c r="E196" i="5"/>
  <c r="D196" i="5"/>
  <c r="C196" i="5"/>
  <c r="E195" i="5"/>
  <c r="D195" i="5"/>
  <c r="C195" i="5"/>
  <c r="E194" i="5"/>
  <c r="D194" i="5"/>
  <c r="C194" i="5"/>
  <c r="E193" i="5"/>
  <c r="D193" i="5"/>
  <c r="C193" i="5"/>
  <c r="E192" i="5"/>
  <c r="D192" i="5"/>
  <c r="C192" i="5"/>
  <c r="E191" i="5"/>
  <c r="D191" i="5"/>
  <c r="C191" i="5"/>
  <c r="E190" i="5"/>
  <c r="D190" i="5"/>
  <c r="C190" i="5"/>
  <c r="E189" i="5"/>
  <c r="D189" i="5"/>
  <c r="C189" i="5"/>
  <c r="E188" i="5"/>
  <c r="D188" i="5"/>
  <c r="C188" i="5"/>
  <c r="E187" i="5"/>
  <c r="D187" i="5"/>
  <c r="C187" i="5"/>
  <c r="E186" i="5"/>
  <c r="D186" i="5"/>
  <c r="C186" i="5"/>
  <c r="E185" i="5"/>
  <c r="D185" i="5"/>
  <c r="C185" i="5"/>
  <c r="E184" i="5"/>
  <c r="D184" i="5"/>
  <c r="C184" i="5"/>
  <c r="E183" i="5"/>
  <c r="D183" i="5"/>
  <c r="C183" i="5"/>
  <c r="E182" i="5"/>
  <c r="D182" i="5"/>
  <c r="C182" i="5"/>
  <c r="E181" i="5"/>
  <c r="D181" i="5"/>
  <c r="C181" i="5"/>
  <c r="E180" i="5"/>
  <c r="D180" i="5"/>
  <c r="C180" i="5"/>
  <c r="E179" i="5"/>
  <c r="D179" i="5"/>
  <c r="C179" i="5"/>
  <c r="E178" i="5"/>
  <c r="D178" i="5"/>
  <c r="C178" i="5"/>
  <c r="E177" i="5"/>
  <c r="D177" i="5"/>
  <c r="C177" i="5"/>
  <c r="E176" i="5"/>
  <c r="D176" i="5"/>
  <c r="C176" i="5"/>
  <c r="E175" i="5"/>
  <c r="D175" i="5"/>
  <c r="C175" i="5"/>
  <c r="E174" i="5"/>
  <c r="D174" i="5"/>
  <c r="C174" i="5"/>
  <c r="E173" i="5"/>
  <c r="D173" i="5"/>
  <c r="C173" i="5"/>
  <c r="E172" i="5"/>
  <c r="E203" i="5" s="1"/>
  <c r="D172" i="5"/>
  <c r="C172" i="5"/>
  <c r="C203" i="5" s="1"/>
  <c r="E166" i="5"/>
  <c r="D166" i="5"/>
  <c r="C166" i="5"/>
  <c r="E165" i="5"/>
  <c r="D165" i="5"/>
  <c r="C165" i="5"/>
  <c r="E164" i="5"/>
  <c r="D164" i="5"/>
  <c r="C164" i="5"/>
  <c r="E163" i="5"/>
  <c r="D163" i="5"/>
  <c r="C163" i="5"/>
  <c r="C167" i="5" s="1"/>
  <c r="E162" i="5"/>
  <c r="D162" i="5"/>
  <c r="C162" i="5"/>
  <c r="E161" i="5"/>
  <c r="D161" i="5"/>
  <c r="C161" i="5"/>
  <c r="E160" i="5"/>
  <c r="E167" i="5" s="1"/>
  <c r="D160" i="5"/>
  <c r="C160" i="5"/>
  <c r="E154" i="5"/>
  <c r="E155" i="5" s="1"/>
  <c r="D154" i="5"/>
  <c r="C154" i="5"/>
  <c r="E153" i="5"/>
  <c r="D153" i="5"/>
  <c r="C153" i="5"/>
  <c r="C155" i="5" s="1"/>
  <c r="E146" i="5"/>
  <c r="D146" i="5"/>
  <c r="C146" i="5"/>
  <c r="E145" i="5"/>
  <c r="D145" i="5"/>
  <c r="C145" i="5"/>
  <c r="E144" i="5"/>
  <c r="E147" i="5" s="1"/>
  <c r="D144" i="5"/>
  <c r="C144" i="5"/>
  <c r="E143" i="5"/>
  <c r="D143" i="5"/>
  <c r="C143" i="5"/>
  <c r="E142" i="5"/>
  <c r="D142" i="5"/>
  <c r="C142" i="5"/>
  <c r="C147" i="5" s="1"/>
  <c r="E141" i="5"/>
  <c r="D141" i="5"/>
  <c r="C141" i="5"/>
  <c r="E138" i="5"/>
  <c r="D138" i="5"/>
  <c r="C138" i="5"/>
  <c r="E137" i="5"/>
  <c r="D137" i="5"/>
  <c r="C137" i="5"/>
  <c r="E136" i="5"/>
  <c r="D136" i="5"/>
  <c r="C136" i="5"/>
  <c r="E135" i="5"/>
  <c r="D135" i="5"/>
  <c r="C135" i="5"/>
  <c r="E134" i="5"/>
  <c r="D134" i="5"/>
  <c r="C134" i="5"/>
  <c r="E133" i="5"/>
  <c r="D133" i="5"/>
  <c r="C133" i="5"/>
  <c r="E132" i="5"/>
  <c r="D132" i="5"/>
  <c r="C132" i="5"/>
  <c r="E131" i="5"/>
  <c r="D131" i="5"/>
  <c r="C131" i="5"/>
  <c r="E130" i="5"/>
  <c r="D130" i="5"/>
  <c r="C130" i="5"/>
  <c r="E129" i="5"/>
  <c r="D129" i="5"/>
  <c r="C129" i="5"/>
  <c r="E128" i="5"/>
  <c r="E139" i="5" s="1"/>
  <c r="D128" i="5"/>
  <c r="C128" i="5"/>
  <c r="E127" i="5"/>
  <c r="D127" i="5"/>
  <c r="C127" i="5"/>
  <c r="E126" i="5"/>
  <c r="D126" i="5"/>
  <c r="C126" i="5"/>
  <c r="C139" i="5" s="1"/>
  <c r="C121" i="5"/>
  <c r="E115" i="5"/>
  <c r="E116" i="5" s="1"/>
  <c r="D115" i="5"/>
  <c r="C115" i="5"/>
  <c r="E114" i="5"/>
  <c r="D114" i="5"/>
  <c r="C114" i="5"/>
  <c r="C116" i="5" s="1"/>
  <c r="F108" i="5"/>
  <c r="E108" i="5"/>
  <c r="D108" i="5"/>
  <c r="C108" i="5"/>
  <c r="F107" i="5"/>
  <c r="F109" i="5" s="1"/>
  <c r="E107" i="5"/>
  <c r="E109" i="5" s="1"/>
  <c r="D107" i="5"/>
  <c r="C107" i="5"/>
  <c r="F106" i="5"/>
  <c r="E106" i="5"/>
  <c r="D106" i="5"/>
  <c r="C106" i="5"/>
  <c r="F105" i="5"/>
  <c r="E105" i="5"/>
  <c r="D105" i="5"/>
  <c r="C105" i="5"/>
  <c r="F104" i="5"/>
  <c r="E104" i="5"/>
  <c r="D104" i="5"/>
  <c r="C104" i="5"/>
  <c r="F103" i="5"/>
  <c r="E103" i="5"/>
  <c r="D103" i="5"/>
  <c r="D109" i="5" s="1"/>
  <c r="C103" i="5"/>
  <c r="C109" i="5" s="1"/>
  <c r="F102" i="5"/>
  <c r="E102" i="5"/>
  <c r="D102" i="5"/>
  <c r="C102" i="5"/>
  <c r="F101" i="5"/>
  <c r="E101" i="5"/>
  <c r="D101" i="5"/>
  <c r="C101" i="5"/>
  <c r="F100" i="5"/>
  <c r="E100" i="5"/>
  <c r="D100" i="5"/>
  <c r="C100" i="5"/>
  <c r="F99" i="5"/>
  <c r="E99" i="5"/>
  <c r="D99" i="5"/>
  <c r="C99" i="5"/>
  <c r="F98" i="5"/>
  <c r="E98" i="5"/>
  <c r="D98" i="5"/>
  <c r="C98" i="5"/>
  <c r="F97" i="5"/>
  <c r="E97" i="5"/>
  <c r="D97" i="5"/>
  <c r="C97" i="5"/>
  <c r="F96" i="5"/>
  <c r="E96" i="5"/>
  <c r="D96" i="5"/>
  <c r="C96" i="5"/>
  <c r="F95" i="5"/>
  <c r="E95" i="5"/>
  <c r="D95" i="5"/>
  <c r="C95" i="5"/>
  <c r="F94" i="5"/>
  <c r="E94" i="5"/>
  <c r="D94" i="5"/>
  <c r="C94" i="5"/>
  <c r="F93" i="5"/>
  <c r="E93" i="5"/>
  <c r="D93" i="5"/>
  <c r="C93" i="5"/>
  <c r="F92" i="5"/>
  <c r="E92" i="5"/>
  <c r="D92" i="5"/>
  <c r="C92" i="5"/>
  <c r="F91" i="5"/>
  <c r="E91" i="5"/>
  <c r="D91" i="5"/>
  <c r="C91" i="5"/>
  <c r="F90" i="5"/>
  <c r="E90" i="5"/>
  <c r="D90" i="5"/>
  <c r="C90" i="5"/>
  <c r="E83" i="5"/>
  <c r="C83" i="5"/>
  <c r="E82" i="5"/>
  <c r="C82" i="5"/>
  <c r="E81" i="5"/>
  <c r="E84" i="5" s="1"/>
  <c r="C81" i="5"/>
  <c r="C84" i="5" s="1"/>
  <c r="E75" i="5"/>
  <c r="C75" i="5"/>
  <c r="E74" i="5"/>
  <c r="C74" i="5"/>
  <c r="E73" i="5"/>
  <c r="C73" i="5"/>
  <c r="E72" i="5"/>
  <c r="C72" i="5"/>
  <c r="E71" i="5"/>
  <c r="C71" i="5"/>
  <c r="E70" i="5"/>
  <c r="C70" i="5"/>
  <c r="E69" i="5"/>
  <c r="E68" i="5" s="1"/>
  <c r="C69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9" i="5"/>
  <c r="C59" i="5"/>
  <c r="E58" i="5"/>
  <c r="C58" i="5"/>
  <c r="E57" i="5"/>
  <c r="C57" i="5"/>
  <c r="E56" i="5"/>
  <c r="C56" i="5"/>
  <c r="E55" i="5"/>
  <c r="C55" i="5"/>
  <c r="C76" i="5" s="1"/>
  <c r="E49" i="5"/>
  <c r="D49" i="5"/>
  <c r="C49" i="5"/>
  <c r="E48" i="5"/>
  <c r="D48" i="5"/>
  <c r="C48" i="5"/>
  <c r="E47" i="5"/>
  <c r="D47" i="5"/>
  <c r="C47" i="5"/>
  <c r="E45" i="5"/>
  <c r="D45" i="5"/>
  <c r="C45" i="5"/>
  <c r="E44" i="5"/>
  <c r="D44" i="5"/>
  <c r="C44" i="5"/>
  <c r="E43" i="5"/>
  <c r="D43" i="5"/>
  <c r="C43" i="5"/>
  <c r="E42" i="5"/>
  <c r="D42" i="5"/>
  <c r="C42" i="5"/>
  <c r="E40" i="5"/>
  <c r="D40" i="5"/>
  <c r="C40" i="5"/>
  <c r="E39" i="5"/>
  <c r="D39" i="5"/>
  <c r="C39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E28" i="5"/>
  <c r="D28" i="5"/>
  <c r="C28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E50" i="5" s="1"/>
  <c r="D15" i="5"/>
  <c r="C15" i="5"/>
  <c r="E14" i="5"/>
  <c r="D14" i="5"/>
  <c r="C14" i="5"/>
  <c r="C50" i="5" s="1"/>
  <c r="C8" i="5"/>
  <c r="C6" i="5"/>
  <c r="A5" i="5"/>
  <c r="C4" i="5"/>
  <c r="A4" i="5"/>
  <c r="A3" i="5"/>
  <c r="A2" i="5"/>
  <c r="E344" i="4"/>
  <c r="E343" i="4"/>
  <c r="E335" i="4"/>
  <c r="E334" i="4"/>
  <c r="C329" i="4"/>
  <c r="C321" i="4"/>
  <c r="E301" i="4"/>
  <c r="D301" i="4"/>
  <c r="C301" i="4"/>
  <c r="E300" i="4"/>
  <c r="D300" i="4"/>
  <c r="C300" i="4"/>
  <c r="E299" i="4"/>
  <c r="D299" i="4"/>
  <c r="C299" i="4"/>
  <c r="E298" i="4"/>
  <c r="D298" i="4"/>
  <c r="C298" i="4"/>
  <c r="E297" i="4"/>
  <c r="D297" i="4"/>
  <c r="C297" i="4"/>
  <c r="E296" i="4"/>
  <c r="D296" i="4"/>
  <c r="C296" i="4"/>
  <c r="E295" i="4"/>
  <c r="E302" i="4" s="1"/>
  <c r="D295" i="4"/>
  <c r="C295" i="4"/>
  <c r="E289" i="4"/>
  <c r="D289" i="4"/>
  <c r="C289" i="4"/>
  <c r="E288" i="4"/>
  <c r="D288" i="4"/>
  <c r="C288" i="4"/>
  <c r="E287" i="4"/>
  <c r="E290" i="4" s="1"/>
  <c r="D287" i="4"/>
  <c r="C287" i="4"/>
  <c r="E286" i="4"/>
  <c r="D286" i="4"/>
  <c r="C286" i="4"/>
  <c r="C290" i="4" s="1"/>
  <c r="E285" i="4"/>
  <c r="D285" i="4"/>
  <c r="C285" i="4"/>
  <c r="E279" i="4"/>
  <c r="D279" i="4"/>
  <c r="C279" i="4"/>
  <c r="E278" i="4"/>
  <c r="D278" i="4"/>
  <c r="C278" i="4"/>
  <c r="E277" i="4"/>
  <c r="D277" i="4"/>
  <c r="C277" i="4"/>
  <c r="E276" i="4"/>
  <c r="D276" i="4"/>
  <c r="C276" i="4"/>
  <c r="E275" i="4"/>
  <c r="D275" i="4"/>
  <c r="C275" i="4"/>
  <c r="E274" i="4"/>
  <c r="D274" i="4"/>
  <c r="C274" i="4"/>
  <c r="E272" i="4"/>
  <c r="D272" i="4"/>
  <c r="C272" i="4"/>
  <c r="E271" i="4"/>
  <c r="D271" i="4"/>
  <c r="C271" i="4"/>
  <c r="E270" i="4"/>
  <c r="D270" i="4"/>
  <c r="C270" i="4"/>
  <c r="E269" i="4"/>
  <c r="D269" i="4"/>
  <c r="C269" i="4"/>
  <c r="E268" i="4"/>
  <c r="D268" i="4"/>
  <c r="C268" i="4"/>
  <c r="E267" i="4"/>
  <c r="D267" i="4"/>
  <c r="C267" i="4"/>
  <c r="E266" i="4"/>
  <c r="D266" i="4"/>
  <c r="C266" i="4"/>
  <c r="E265" i="4"/>
  <c r="D265" i="4"/>
  <c r="C265" i="4"/>
  <c r="E264" i="4"/>
  <c r="D264" i="4"/>
  <c r="C264" i="4"/>
  <c r="E263" i="4"/>
  <c r="D263" i="4"/>
  <c r="C263" i="4"/>
  <c r="E262" i="4"/>
  <c r="D262" i="4"/>
  <c r="C262" i="4"/>
  <c r="E261" i="4"/>
  <c r="D261" i="4"/>
  <c r="C261" i="4"/>
  <c r="E260" i="4"/>
  <c r="D260" i="4"/>
  <c r="C260" i="4"/>
  <c r="E259" i="4"/>
  <c r="D259" i="4"/>
  <c r="C259" i="4"/>
  <c r="E258" i="4"/>
  <c r="D258" i="4"/>
  <c r="C258" i="4"/>
  <c r="E257" i="4"/>
  <c r="D257" i="4"/>
  <c r="C257" i="4"/>
  <c r="E256" i="4"/>
  <c r="D256" i="4"/>
  <c r="C256" i="4"/>
  <c r="E255" i="4"/>
  <c r="D255" i="4"/>
  <c r="C255" i="4"/>
  <c r="E253" i="4"/>
  <c r="D253" i="4"/>
  <c r="C253" i="4"/>
  <c r="E252" i="4"/>
  <c r="D252" i="4"/>
  <c r="C252" i="4"/>
  <c r="E251" i="4"/>
  <c r="D251" i="4"/>
  <c r="C251" i="4"/>
  <c r="E250" i="4"/>
  <c r="D250" i="4"/>
  <c r="C250" i="4"/>
  <c r="E249" i="4"/>
  <c r="D249" i="4"/>
  <c r="C249" i="4"/>
  <c r="E248" i="4"/>
  <c r="D248" i="4"/>
  <c r="C248" i="4"/>
  <c r="E247" i="4"/>
  <c r="D247" i="4"/>
  <c r="C247" i="4"/>
  <c r="E246" i="4"/>
  <c r="D246" i="4"/>
  <c r="C246" i="4"/>
  <c r="E245" i="4"/>
  <c r="D245" i="4"/>
  <c r="C245" i="4"/>
  <c r="E244" i="4"/>
  <c r="D244" i="4"/>
  <c r="C244" i="4"/>
  <c r="E243" i="4"/>
  <c r="E280" i="4" s="1"/>
  <c r="D243" i="4"/>
  <c r="C243" i="4"/>
  <c r="E242" i="4"/>
  <c r="D242" i="4"/>
  <c r="C242" i="4"/>
  <c r="E241" i="4"/>
  <c r="D241" i="4"/>
  <c r="C241" i="4"/>
  <c r="E240" i="4"/>
  <c r="D240" i="4"/>
  <c r="C240" i="4"/>
  <c r="C280" i="4" s="1"/>
  <c r="E236" i="4"/>
  <c r="C236" i="4"/>
  <c r="C231" i="4"/>
  <c r="E230" i="4"/>
  <c r="D230" i="4"/>
  <c r="C230" i="4"/>
  <c r="E229" i="4"/>
  <c r="E231" i="4" s="1"/>
  <c r="E306" i="4" s="1"/>
  <c r="D229" i="4"/>
  <c r="C229" i="4"/>
  <c r="C224" i="4"/>
  <c r="E216" i="4"/>
  <c r="D216" i="4"/>
  <c r="C216" i="4"/>
  <c r="E215" i="4"/>
  <c r="C215" i="4"/>
  <c r="E214" i="4"/>
  <c r="D214" i="4"/>
  <c r="C214" i="4"/>
  <c r="E213" i="4"/>
  <c r="D213" i="4"/>
  <c r="C213" i="4"/>
  <c r="E212" i="4"/>
  <c r="D212" i="4"/>
  <c r="C212" i="4"/>
  <c r="E211" i="4"/>
  <c r="D211" i="4"/>
  <c r="C211" i="4"/>
  <c r="E210" i="4"/>
  <c r="D210" i="4"/>
  <c r="C210" i="4"/>
  <c r="C217" i="4" s="1"/>
  <c r="E209" i="4"/>
  <c r="D209" i="4"/>
  <c r="C209" i="4"/>
  <c r="E208" i="4"/>
  <c r="E217" i="4" s="1"/>
  <c r="D208" i="4"/>
  <c r="C208" i="4"/>
  <c r="E202" i="4"/>
  <c r="D202" i="4"/>
  <c r="C202" i="4"/>
  <c r="E201" i="4"/>
  <c r="D201" i="4"/>
  <c r="C201" i="4"/>
  <c r="E200" i="4"/>
  <c r="D200" i="4"/>
  <c r="C200" i="4"/>
  <c r="E199" i="4"/>
  <c r="D199" i="4"/>
  <c r="C199" i="4"/>
  <c r="E198" i="4"/>
  <c r="D198" i="4"/>
  <c r="C198" i="4"/>
  <c r="E197" i="4"/>
  <c r="D197" i="4"/>
  <c r="C197" i="4"/>
  <c r="E196" i="4"/>
  <c r="D196" i="4"/>
  <c r="C196" i="4"/>
  <c r="E195" i="4"/>
  <c r="D195" i="4"/>
  <c r="C195" i="4"/>
  <c r="E194" i="4"/>
  <c r="D194" i="4"/>
  <c r="C194" i="4"/>
  <c r="E193" i="4"/>
  <c r="D193" i="4"/>
  <c r="C193" i="4"/>
  <c r="E192" i="4"/>
  <c r="D192" i="4"/>
  <c r="C192" i="4"/>
  <c r="E191" i="4"/>
  <c r="D191" i="4"/>
  <c r="C191" i="4"/>
  <c r="E190" i="4"/>
  <c r="D190" i="4"/>
  <c r="C190" i="4"/>
  <c r="E189" i="4"/>
  <c r="D189" i="4"/>
  <c r="C189" i="4"/>
  <c r="E188" i="4"/>
  <c r="D188" i="4"/>
  <c r="C188" i="4"/>
  <c r="E187" i="4"/>
  <c r="D187" i="4"/>
  <c r="C187" i="4"/>
  <c r="E186" i="4"/>
  <c r="D186" i="4"/>
  <c r="C186" i="4"/>
  <c r="E185" i="4"/>
  <c r="D185" i="4"/>
  <c r="C185" i="4"/>
  <c r="E184" i="4"/>
  <c r="D184" i="4"/>
  <c r="C184" i="4"/>
  <c r="E183" i="4"/>
  <c r="D183" i="4"/>
  <c r="C183" i="4"/>
  <c r="E182" i="4"/>
  <c r="D182" i="4"/>
  <c r="C182" i="4"/>
  <c r="E181" i="4"/>
  <c r="D181" i="4"/>
  <c r="C181" i="4"/>
  <c r="E180" i="4"/>
  <c r="D180" i="4"/>
  <c r="C180" i="4"/>
  <c r="E179" i="4"/>
  <c r="D179" i="4"/>
  <c r="C179" i="4"/>
  <c r="E178" i="4"/>
  <c r="D178" i="4"/>
  <c r="C178" i="4"/>
  <c r="E177" i="4"/>
  <c r="D177" i="4"/>
  <c r="C177" i="4"/>
  <c r="E176" i="4"/>
  <c r="D176" i="4"/>
  <c r="C176" i="4"/>
  <c r="E175" i="4"/>
  <c r="D175" i="4"/>
  <c r="C175" i="4"/>
  <c r="C203" i="4" s="1"/>
  <c r="E174" i="4"/>
  <c r="D174" i="4"/>
  <c r="C174" i="4"/>
  <c r="E173" i="4"/>
  <c r="D173" i="4"/>
  <c r="C173" i="4"/>
  <c r="E172" i="4"/>
  <c r="E203" i="4" s="1"/>
  <c r="D172" i="4"/>
  <c r="C172" i="4"/>
  <c r="E166" i="4"/>
  <c r="D166" i="4"/>
  <c r="C166" i="4"/>
  <c r="E165" i="4"/>
  <c r="D165" i="4"/>
  <c r="C165" i="4"/>
  <c r="E164" i="4"/>
  <c r="D164" i="4"/>
  <c r="C164" i="4"/>
  <c r="E163" i="4"/>
  <c r="D163" i="4"/>
  <c r="C163" i="4"/>
  <c r="E162" i="4"/>
  <c r="D162" i="4"/>
  <c r="C162" i="4"/>
  <c r="E161" i="4"/>
  <c r="D161" i="4"/>
  <c r="C161" i="4"/>
  <c r="E160" i="4"/>
  <c r="E167" i="4" s="1"/>
  <c r="D160" i="4"/>
  <c r="C160" i="4"/>
  <c r="C167" i="4" s="1"/>
  <c r="E154" i="4"/>
  <c r="E155" i="4" s="1"/>
  <c r="D154" i="4"/>
  <c r="C154" i="4"/>
  <c r="E153" i="4"/>
  <c r="D153" i="4"/>
  <c r="C153" i="4"/>
  <c r="C155" i="4" s="1"/>
  <c r="E146" i="4"/>
  <c r="D146" i="4"/>
  <c r="C146" i="4"/>
  <c r="E145" i="4"/>
  <c r="D145" i="4"/>
  <c r="C145" i="4"/>
  <c r="E144" i="4"/>
  <c r="D144" i="4"/>
  <c r="C144" i="4"/>
  <c r="E143" i="4"/>
  <c r="D143" i="4"/>
  <c r="C143" i="4"/>
  <c r="C147" i="4" s="1"/>
  <c r="E142" i="4"/>
  <c r="D142" i="4"/>
  <c r="C142" i="4"/>
  <c r="E141" i="4"/>
  <c r="E147" i="4" s="1"/>
  <c r="D141" i="4"/>
  <c r="C141" i="4"/>
  <c r="E138" i="4"/>
  <c r="D138" i="4"/>
  <c r="C138" i="4"/>
  <c r="E137" i="4"/>
  <c r="D137" i="4"/>
  <c r="C137" i="4"/>
  <c r="E136" i="4"/>
  <c r="D136" i="4"/>
  <c r="C136" i="4"/>
  <c r="E135" i="4"/>
  <c r="D135" i="4"/>
  <c r="C135" i="4"/>
  <c r="E134" i="4"/>
  <c r="D134" i="4"/>
  <c r="C134" i="4"/>
  <c r="E133" i="4"/>
  <c r="D133" i="4"/>
  <c r="C133" i="4"/>
  <c r="E132" i="4"/>
  <c r="D132" i="4"/>
  <c r="C132" i="4"/>
  <c r="E131" i="4"/>
  <c r="D131" i="4"/>
  <c r="C131" i="4"/>
  <c r="E130" i="4"/>
  <c r="D130" i="4"/>
  <c r="C130" i="4"/>
  <c r="E129" i="4"/>
  <c r="D129" i="4"/>
  <c r="C129" i="4"/>
  <c r="E128" i="4"/>
  <c r="E139" i="4" s="1"/>
  <c r="D128" i="4"/>
  <c r="C128" i="4"/>
  <c r="E127" i="4"/>
  <c r="D127" i="4"/>
  <c r="C127" i="4"/>
  <c r="C139" i="4" s="1"/>
  <c r="C148" i="4" s="1"/>
  <c r="E126" i="4"/>
  <c r="D126" i="4"/>
  <c r="C126" i="4"/>
  <c r="C121" i="4"/>
  <c r="E115" i="4"/>
  <c r="E116" i="4" s="1"/>
  <c r="D115" i="4"/>
  <c r="C115" i="4"/>
  <c r="E114" i="4"/>
  <c r="D114" i="4"/>
  <c r="C114" i="4"/>
  <c r="C116" i="4" s="1"/>
  <c r="F108" i="4"/>
  <c r="E108" i="4"/>
  <c r="D108" i="4"/>
  <c r="C108" i="4"/>
  <c r="F107" i="4"/>
  <c r="F109" i="4" s="1"/>
  <c r="E107" i="4"/>
  <c r="E109" i="4" s="1"/>
  <c r="D107" i="4"/>
  <c r="C107" i="4"/>
  <c r="F106" i="4"/>
  <c r="E106" i="4"/>
  <c r="D106" i="4"/>
  <c r="C106" i="4"/>
  <c r="F105" i="4"/>
  <c r="E105" i="4"/>
  <c r="D105" i="4"/>
  <c r="C105" i="4"/>
  <c r="F104" i="4"/>
  <c r="E104" i="4"/>
  <c r="D104" i="4"/>
  <c r="C104" i="4"/>
  <c r="F103" i="4"/>
  <c r="E103" i="4"/>
  <c r="D103" i="4"/>
  <c r="D109" i="4" s="1"/>
  <c r="C103" i="4"/>
  <c r="C109" i="4" s="1"/>
  <c r="F102" i="4"/>
  <c r="E102" i="4"/>
  <c r="D102" i="4"/>
  <c r="C102" i="4"/>
  <c r="F101" i="4"/>
  <c r="E101" i="4"/>
  <c r="D101" i="4"/>
  <c r="C101" i="4"/>
  <c r="F100" i="4"/>
  <c r="E100" i="4"/>
  <c r="D100" i="4"/>
  <c r="C100" i="4"/>
  <c r="F99" i="4"/>
  <c r="E99" i="4"/>
  <c r="D99" i="4"/>
  <c r="C99" i="4"/>
  <c r="F98" i="4"/>
  <c r="E98" i="4"/>
  <c r="D98" i="4"/>
  <c r="C98" i="4"/>
  <c r="F97" i="4"/>
  <c r="E97" i="4"/>
  <c r="D97" i="4"/>
  <c r="C97" i="4"/>
  <c r="F96" i="4"/>
  <c r="E96" i="4"/>
  <c r="D96" i="4"/>
  <c r="C96" i="4"/>
  <c r="F95" i="4"/>
  <c r="E95" i="4"/>
  <c r="D95" i="4"/>
  <c r="C95" i="4"/>
  <c r="F94" i="4"/>
  <c r="E94" i="4"/>
  <c r="D94" i="4"/>
  <c r="C94" i="4"/>
  <c r="F93" i="4"/>
  <c r="E93" i="4"/>
  <c r="D93" i="4"/>
  <c r="C93" i="4"/>
  <c r="F92" i="4"/>
  <c r="E92" i="4"/>
  <c r="D92" i="4"/>
  <c r="C92" i="4"/>
  <c r="F91" i="4"/>
  <c r="E91" i="4"/>
  <c r="D91" i="4"/>
  <c r="C91" i="4"/>
  <c r="F90" i="4"/>
  <c r="E90" i="4"/>
  <c r="D90" i="4"/>
  <c r="C90" i="4"/>
  <c r="E83" i="4"/>
  <c r="C83" i="4"/>
  <c r="E82" i="4"/>
  <c r="C82" i="4"/>
  <c r="E81" i="4"/>
  <c r="E84" i="4" s="1"/>
  <c r="C81" i="4"/>
  <c r="C84" i="4" s="1"/>
  <c r="E75" i="4"/>
  <c r="C75" i="4"/>
  <c r="E74" i="4"/>
  <c r="C74" i="4"/>
  <c r="E73" i="4"/>
  <c r="C73" i="4"/>
  <c r="E72" i="4"/>
  <c r="C72" i="4"/>
  <c r="E71" i="4"/>
  <c r="C71" i="4"/>
  <c r="E70" i="4"/>
  <c r="C70" i="4"/>
  <c r="E69" i="4"/>
  <c r="E68" i="4" s="1"/>
  <c r="C69" i="4"/>
  <c r="C68" i="4"/>
  <c r="E67" i="4"/>
  <c r="C67" i="4"/>
  <c r="E66" i="4"/>
  <c r="C66" i="4"/>
  <c r="E65" i="4"/>
  <c r="C65" i="4"/>
  <c r="E64" i="4"/>
  <c r="C64" i="4"/>
  <c r="E63" i="4"/>
  <c r="E61" i="4" s="1"/>
  <c r="E55" i="4" s="1"/>
  <c r="C63" i="4"/>
  <c r="E62" i="4"/>
  <c r="C62" i="4"/>
  <c r="C61" i="4"/>
  <c r="E60" i="4"/>
  <c r="C60" i="4"/>
  <c r="E59" i="4"/>
  <c r="C59" i="4"/>
  <c r="E58" i="4"/>
  <c r="C58" i="4"/>
  <c r="E57" i="4"/>
  <c r="C57" i="4"/>
  <c r="E56" i="4"/>
  <c r="C56" i="4"/>
  <c r="C55" i="4"/>
  <c r="C76" i="4" s="1"/>
  <c r="E49" i="4"/>
  <c r="D49" i="4"/>
  <c r="C49" i="4"/>
  <c r="E48" i="4"/>
  <c r="D48" i="4"/>
  <c r="C48" i="4"/>
  <c r="E47" i="4"/>
  <c r="D47" i="4"/>
  <c r="C47" i="4"/>
  <c r="E45" i="4"/>
  <c r="D45" i="4"/>
  <c r="C45" i="4"/>
  <c r="E44" i="4"/>
  <c r="D44" i="4"/>
  <c r="C44" i="4"/>
  <c r="E43" i="4"/>
  <c r="D43" i="4"/>
  <c r="C43" i="4"/>
  <c r="E42" i="4"/>
  <c r="D42" i="4"/>
  <c r="C42" i="4"/>
  <c r="E40" i="4"/>
  <c r="D40" i="4"/>
  <c r="C40" i="4"/>
  <c r="E39" i="4"/>
  <c r="D39" i="4"/>
  <c r="C39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E50" i="4" s="1"/>
  <c r="D14" i="4"/>
  <c r="C14" i="4"/>
  <c r="C50" i="4" s="1"/>
  <c r="C8" i="4"/>
  <c r="C6" i="4"/>
  <c r="A5" i="4"/>
  <c r="C4" i="4"/>
  <c r="A4" i="4"/>
  <c r="A3" i="4"/>
  <c r="A2" i="4"/>
  <c r="E344" i="3"/>
  <c r="E343" i="3"/>
  <c r="E335" i="3"/>
  <c r="E334" i="3"/>
  <c r="C321" i="3"/>
  <c r="C329" i="3" s="1"/>
  <c r="E301" i="3"/>
  <c r="D301" i="3"/>
  <c r="C301" i="3"/>
  <c r="E300" i="3"/>
  <c r="D300" i="3"/>
  <c r="C300" i="3"/>
  <c r="E299" i="3"/>
  <c r="D299" i="3"/>
  <c r="C299" i="3"/>
  <c r="E298" i="3"/>
  <c r="D298" i="3"/>
  <c r="C298" i="3"/>
  <c r="E297" i="3"/>
  <c r="D297" i="3"/>
  <c r="C297" i="3"/>
  <c r="E296" i="3"/>
  <c r="D296" i="3"/>
  <c r="C296" i="3"/>
  <c r="E295" i="3"/>
  <c r="E302" i="3" s="1"/>
  <c r="D295" i="3"/>
  <c r="C295" i="3"/>
  <c r="E289" i="3"/>
  <c r="D289" i="3"/>
  <c r="C289" i="3"/>
  <c r="E288" i="3"/>
  <c r="D288" i="3"/>
  <c r="C288" i="3"/>
  <c r="E287" i="3"/>
  <c r="E290" i="3" s="1"/>
  <c r="D287" i="3"/>
  <c r="C287" i="3"/>
  <c r="E286" i="3"/>
  <c r="D286" i="3"/>
  <c r="C286" i="3"/>
  <c r="C290" i="3" s="1"/>
  <c r="E285" i="3"/>
  <c r="D285" i="3"/>
  <c r="C285" i="3"/>
  <c r="E279" i="3"/>
  <c r="D279" i="3"/>
  <c r="C279" i="3"/>
  <c r="E278" i="3"/>
  <c r="D278" i="3"/>
  <c r="C278" i="3"/>
  <c r="E277" i="3"/>
  <c r="D277" i="3"/>
  <c r="C277" i="3"/>
  <c r="E276" i="3"/>
  <c r="D276" i="3"/>
  <c r="C276" i="3"/>
  <c r="E275" i="3"/>
  <c r="D275" i="3"/>
  <c r="C275" i="3"/>
  <c r="E274" i="3"/>
  <c r="D274" i="3"/>
  <c r="C274" i="3"/>
  <c r="E272" i="3"/>
  <c r="D272" i="3"/>
  <c r="C272" i="3"/>
  <c r="E271" i="3"/>
  <c r="D271" i="3"/>
  <c r="C271" i="3"/>
  <c r="E270" i="3"/>
  <c r="D270" i="3"/>
  <c r="C270" i="3"/>
  <c r="E269" i="3"/>
  <c r="D269" i="3"/>
  <c r="C269" i="3"/>
  <c r="E268" i="3"/>
  <c r="D268" i="3"/>
  <c r="C268" i="3"/>
  <c r="E267" i="3"/>
  <c r="D267" i="3"/>
  <c r="C267" i="3"/>
  <c r="E266" i="3"/>
  <c r="D266" i="3"/>
  <c r="C266" i="3"/>
  <c r="E265" i="3"/>
  <c r="D265" i="3"/>
  <c r="C265" i="3"/>
  <c r="E264" i="3"/>
  <c r="D264" i="3"/>
  <c r="C264" i="3"/>
  <c r="E263" i="3"/>
  <c r="D263" i="3"/>
  <c r="C263" i="3"/>
  <c r="E262" i="3"/>
  <c r="D262" i="3"/>
  <c r="C262" i="3"/>
  <c r="E261" i="3"/>
  <c r="D261" i="3"/>
  <c r="C261" i="3"/>
  <c r="E260" i="3"/>
  <c r="D260" i="3"/>
  <c r="C260" i="3"/>
  <c r="E259" i="3"/>
  <c r="D259" i="3"/>
  <c r="C259" i="3"/>
  <c r="E258" i="3"/>
  <c r="D258" i="3"/>
  <c r="C258" i="3"/>
  <c r="E257" i="3"/>
  <c r="D257" i="3"/>
  <c r="C257" i="3"/>
  <c r="E256" i="3"/>
  <c r="D256" i="3"/>
  <c r="C256" i="3"/>
  <c r="E255" i="3"/>
  <c r="D255" i="3"/>
  <c r="C255" i="3"/>
  <c r="E253" i="3"/>
  <c r="D253" i="3"/>
  <c r="C253" i="3"/>
  <c r="E252" i="3"/>
  <c r="D252" i="3"/>
  <c r="C252" i="3"/>
  <c r="E251" i="3"/>
  <c r="D251" i="3"/>
  <c r="C251" i="3"/>
  <c r="E250" i="3"/>
  <c r="D250" i="3"/>
  <c r="C250" i="3"/>
  <c r="E249" i="3"/>
  <c r="D249" i="3"/>
  <c r="C249" i="3"/>
  <c r="E248" i="3"/>
  <c r="D248" i="3"/>
  <c r="C248" i="3"/>
  <c r="E247" i="3"/>
  <c r="D247" i="3"/>
  <c r="C247" i="3"/>
  <c r="E246" i="3"/>
  <c r="D246" i="3"/>
  <c r="C246" i="3"/>
  <c r="E245" i="3"/>
  <c r="D245" i="3"/>
  <c r="C245" i="3"/>
  <c r="E244" i="3"/>
  <c r="D244" i="3"/>
  <c r="C244" i="3"/>
  <c r="E243" i="3"/>
  <c r="E280" i="3" s="1"/>
  <c r="D243" i="3"/>
  <c r="C243" i="3"/>
  <c r="E242" i="3"/>
  <c r="D242" i="3"/>
  <c r="C242" i="3"/>
  <c r="E241" i="3"/>
  <c r="D241" i="3"/>
  <c r="C241" i="3"/>
  <c r="E240" i="3"/>
  <c r="D240" i="3"/>
  <c r="C240" i="3"/>
  <c r="C280" i="3" s="1"/>
  <c r="E236" i="3"/>
  <c r="C236" i="3"/>
  <c r="C231" i="3"/>
  <c r="E230" i="3"/>
  <c r="D230" i="3"/>
  <c r="C230" i="3"/>
  <c r="E229" i="3"/>
  <c r="E231" i="3" s="1"/>
  <c r="E306" i="3" s="1"/>
  <c r="D229" i="3"/>
  <c r="C229" i="3"/>
  <c r="C224" i="3"/>
  <c r="E216" i="3"/>
  <c r="D216" i="3"/>
  <c r="C216" i="3"/>
  <c r="E215" i="3"/>
  <c r="C215" i="3"/>
  <c r="E214" i="3"/>
  <c r="D214" i="3"/>
  <c r="C214" i="3"/>
  <c r="E213" i="3"/>
  <c r="D213" i="3"/>
  <c r="C213" i="3"/>
  <c r="E212" i="3"/>
  <c r="D212" i="3"/>
  <c r="C212" i="3"/>
  <c r="E211" i="3"/>
  <c r="D211" i="3"/>
  <c r="C211" i="3"/>
  <c r="E210" i="3"/>
  <c r="D210" i="3"/>
  <c r="C210" i="3"/>
  <c r="C217" i="3" s="1"/>
  <c r="E209" i="3"/>
  <c r="D209" i="3"/>
  <c r="C209" i="3"/>
  <c r="E208" i="3"/>
  <c r="E217" i="3" s="1"/>
  <c r="D208" i="3"/>
  <c r="C208" i="3"/>
  <c r="E202" i="3"/>
  <c r="D202" i="3"/>
  <c r="C202" i="3"/>
  <c r="E201" i="3"/>
  <c r="D201" i="3"/>
  <c r="C201" i="3"/>
  <c r="E200" i="3"/>
  <c r="D200" i="3"/>
  <c r="C200" i="3"/>
  <c r="E199" i="3"/>
  <c r="D199" i="3"/>
  <c r="C199" i="3"/>
  <c r="E198" i="3"/>
  <c r="D198" i="3"/>
  <c r="C198" i="3"/>
  <c r="E197" i="3"/>
  <c r="D197" i="3"/>
  <c r="C197" i="3"/>
  <c r="E196" i="3"/>
  <c r="D196" i="3"/>
  <c r="C196" i="3"/>
  <c r="E195" i="3"/>
  <c r="D195" i="3"/>
  <c r="C195" i="3"/>
  <c r="E194" i="3"/>
  <c r="D194" i="3"/>
  <c r="C194" i="3"/>
  <c r="E193" i="3"/>
  <c r="D193" i="3"/>
  <c r="C193" i="3"/>
  <c r="E192" i="3"/>
  <c r="D192" i="3"/>
  <c r="C192" i="3"/>
  <c r="E191" i="3"/>
  <c r="D191" i="3"/>
  <c r="C191" i="3"/>
  <c r="E190" i="3"/>
  <c r="D190" i="3"/>
  <c r="C190" i="3"/>
  <c r="E189" i="3"/>
  <c r="D189" i="3"/>
  <c r="C189" i="3"/>
  <c r="E188" i="3"/>
  <c r="D188" i="3"/>
  <c r="C188" i="3"/>
  <c r="E187" i="3"/>
  <c r="D187" i="3"/>
  <c r="C187" i="3"/>
  <c r="E186" i="3"/>
  <c r="D186" i="3"/>
  <c r="C186" i="3"/>
  <c r="E185" i="3"/>
  <c r="D185" i="3"/>
  <c r="C185" i="3"/>
  <c r="E184" i="3"/>
  <c r="D184" i="3"/>
  <c r="C184" i="3"/>
  <c r="E183" i="3"/>
  <c r="D183" i="3"/>
  <c r="C183" i="3"/>
  <c r="E182" i="3"/>
  <c r="D182" i="3"/>
  <c r="C182" i="3"/>
  <c r="E181" i="3"/>
  <c r="D181" i="3"/>
  <c r="C181" i="3"/>
  <c r="E180" i="3"/>
  <c r="D180" i="3"/>
  <c r="C180" i="3"/>
  <c r="E179" i="3"/>
  <c r="D179" i="3"/>
  <c r="C179" i="3"/>
  <c r="E178" i="3"/>
  <c r="D178" i="3"/>
  <c r="C178" i="3"/>
  <c r="E177" i="3"/>
  <c r="D177" i="3"/>
  <c r="C177" i="3"/>
  <c r="E176" i="3"/>
  <c r="D176" i="3"/>
  <c r="C176" i="3"/>
  <c r="E175" i="3"/>
  <c r="D175" i="3"/>
  <c r="C175" i="3"/>
  <c r="C203" i="3" s="1"/>
  <c r="E174" i="3"/>
  <c r="D174" i="3"/>
  <c r="C174" i="3"/>
  <c r="E173" i="3"/>
  <c r="D173" i="3"/>
  <c r="C173" i="3"/>
  <c r="E172" i="3"/>
  <c r="E203" i="3" s="1"/>
  <c r="D172" i="3"/>
  <c r="C172" i="3"/>
  <c r="E166" i="3"/>
  <c r="D166" i="3"/>
  <c r="C166" i="3"/>
  <c r="E165" i="3"/>
  <c r="D165" i="3"/>
  <c r="C165" i="3"/>
  <c r="E164" i="3"/>
  <c r="D164" i="3"/>
  <c r="C164" i="3"/>
  <c r="E163" i="3"/>
  <c r="D163" i="3"/>
  <c r="C163" i="3"/>
  <c r="E162" i="3"/>
  <c r="D162" i="3"/>
  <c r="C162" i="3"/>
  <c r="E161" i="3"/>
  <c r="D161" i="3"/>
  <c r="C161" i="3"/>
  <c r="E160" i="3"/>
  <c r="E167" i="3" s="1"/>
  <c r="D160" i="3"/>
  <c r="C160" i="3"/>
  <c r="C167" i="3" s="1"/>
  <c r="E154" i="3"/>
  <c r="D154" i="3"/>
  <c r="C154" i="3"/>
  <c r="E153" i="3"/>
  <c r="E155" i="3" s="1"/>
  <c r="D153" i="3"/>
  <c r="C153" i="3"/>
  <c r="C155" i="3" s="1"/>
  <c r="E146" i="3"/>
  <c r="D146" i="3"/>
  <c r="C146" i="3"/>
  <c r="E145" i="3"/>
  <c r="D145" i="3"/>
  <c r="C145" i="3"/>
  <c r="E144" i="3"/>
  <c r="D144" i="3"/>
  <c r="C144" i="3"/>
  <c r="E143" i="3"/>
  <c r="D143" i="3"/>
  <c r="C143" i="3"/>
  <c r="C147" i="3" s="1"/>
  <c r="E142" i="3"/>
  <c r="D142" i="3"/>
  <c r="C142" i="3"/>
  <c r="E141" i="3"/>
  <c r="E147" i="3" s="1"/>
  <c r="D141" i="3"/>
  <c r="C141" i="3"/>
  <c r="E138" i="3"/>
  <c r="D138" i="3"/>
  <c r="C138" i="3"/>
  <c r="E137" i="3"/>
  <c r="D137" i="3"/>
  <c r="C137" i="3"/>
  <c r="E136" i="3"/>
  <c r="D136" i="3"/>
  <c r="C136" i="3"/>
  <c r="E135" i="3"/>
  <c r="D135" i="3"/>
  <c r="C135" i="3"/>
  <c r="E134" i="3"/>
  <c r="D134" i="3"/>
  <c r="C134" i="3"/>
  <c r="E133" i="3"/>
  <c r="D133" i="3"/>
  <c r="C133" i="3"/>
  <c r="E132" i="3"/>
  <c r="D132" i="3"/>
  <c r="C132" i="3"/>
  <c r="E131" i="3"/>
  <c r="D131" i="3"/>
  <c r="C131" i="3"/>
  <c r="E130" i="3"/>
  <c r="D130" i="3"/>
  <c r="C130" i="3"/>
  <c r="E129" i="3"/>
  <c r="D129" i="3"/>
  <c r="C129" i="3"/>
  <c r="E128" i="3"/>
  <c r="E139" i="3" s="1"/>
  <c r="D128" i="3"/>
  <c r="C128" i="3"/>
  <c r="E127" i="3"/>
  <c r="D127" i="3"/>
  <c r="C127" i="3"/>
  <c r="C139" i="3" s="1"/>
  <c r="E126" i="3"/>
  <c r="D126" i="3"/>
  <c r="C126" i="3"/>
  <c r="C121" i="3"/>
  <c r="E115" i="3"/>
  <c r="D115" i="3"/>
  <c r="C115" i="3"/>
  <c r="E114" i="3"/>
  <c r="E116" i="3" s="1"/>
  <c r="D114" i="3"/>
  <c r="C114" i="3"/>
  <c r="C116" i="3" s="1"/>
  <c r="F108" i="3"/>
  <c r="E108" i="3"/>
  <c r="D108" i="3"/>
  <c r="C108" i="3"/>
  <c r="F107" i="3"/>
  <c r="F109" i="3" s="1"/>
  <c r="E107" i="3"/>
  <c r="E109" i="3" s="1"/>
  <c r="D107" i="3"/>
  <c r="C107" i="3"/>
  <c r="F106" i="3"/>
  <c r="E106" i="3"/>
  <c r="D106" i="3"/>
  <c r="C106" i="3"/>
  <c r="F105" i="3"/>
  <c r="E105" i="3"/>
  <c r="D105" i="3"/>
  <c r="C105" i="3"/>
  <c r="F104" i="3"/>
  <c r="E104" i="3"/>
  <c r="D104" i="3"/>
  <c r="C104" i="3"/>
  <c r="F103" i="3"/>
  <c r="E103" i="3"/>
  <c r="D103" i="3"/>
  <c r="D109" i="3" s="1"/>
  <c r="C103" i="3"/>
  <c r="C109" i="3" s="1"/>
  <c r="F102" i="3"/>
  <c r="E102" i="3"/>
  <c r="D102" i="3"/>
  <c r="C102" i="3"/>
  <c r="F101" i="3"/>
  <c r="E101" i="3"/>
  <c r="D101" i="3"/>
  <c r="C101" i="3"/>
  <c r="F100" i="3"/>
  <c r="E100" i="3"/>
  <c r="D100" i="3"/>
  <c r="C100" i="3"/>
  <c r="F99" i="3"/>
  <c r="E99" i="3"/>
  <c r="D99" i="3"/>
  <c r="C99" i="3"/>
  <c r="F98" i="3"/>
  <c r="E98" i="3"/>
  <c r="D98" i="3"/>
  <c r="C98" i="3"/>
  <c r="F97" i="3"/>
  <c r="E97" i="3"/>
  <c r="D97" i="3"/>
  <c r="C97" i="3"/>
  <c r="F96" i="3"/>
  <c r="E96" i="3"/>
  <c r="D96" i="3"/>
  <c r="C96" i="3"/>
  <c r="F95" i="3"/>
  <c r="E95" i="3"/>
  <c r="D95" i="3"/>
  <c r="C95" i="3"/>
  <c r="F94" i="3"/>
  <c r="E94" i="3"/>
  <c r="D94" i="3"/>
  <c r="C94" i="3"/>
  <c r="F93" i="3"/>
  <c r="E93" i="3"/>
  <c r="D93" i="3"/>
  <c r="C93" i="3"/>
  <c r="F92" i="3"/>
  <c r="E92" i="3"/>
  <c r="D92" i="3"/>
  <c r="C92" i="3"/>
  <c r="F91" i="3"/>
  <c r="E91" i="3"/>
  <c r="D91" i="3"/>
  <c r="C91" i="3"/>
  <c r="F90" i="3"/>
  <c r="E90" i="3"/>
  <c r="D90" i="3"/>
  <c r="C90" i="3"/>
  <c r="E83" i="3"/>
  <c r="C83" i="3"/>
  <c r="E82" i="3"/>
  <c r="C82" i="3"/>
  <c r="E81" i="3"/>
  <c r="E84" i="3" s="1"/>
  <c r="C81" i="3"/>
  <c r="C84" i="3" s="1"/>
  <c r="E75" i="3"/>
  <c r="C75" i="3"/>
  <c r="E74" i="3"/>
  <c r="C74" i="3"/>
  <c r="E73" i="3"/>
  <c r="C73" i="3"/>
  <c r="E72" i="3"/>
  <c r="C72" i="3"/>
  <c r="E71" i="3"/>
  <c r="C71" i="3"/>
  <c r="E70" i="3"/>
  <c r="C70" i="3"/>
  <c r="E69" i="3"/>
  <c r="E68" i="3" s="1"/>
  <c r="C69" i="3"/>
  <c r="C68" i="3"/>
  <c r="E67" i="3"/>
  <c r="C67" i="3"/>
  <c r="E66" i="3"/>
  <c r="C66" i="3"/>
  <c r="E65" i="3"/>
  <c r="C65" i="3"/>
  <c r="E64" i="3"/>
  <c r="C64" i="3"/>
  <c r="E63" i="3"/>
  <c r="C63" i="3"/>
  <c r="E62" i="3"/>
  <c r="C62" i="3"/>
  <c r="E61" i="3"/>
  <c r="C61" i="3"/>
  <c r="E60" i="3"/>
  <c r="C60" i="3"/>
  <c r="E59" i="3"/>
  <c r="C59" i="3"/>
  <c r="E58" i="3"/>
  <c r="C58" i="3"/>
  <c r="E57" i="3"/>
  <c r="C57" i="3"/>
  <c r="E56" i="3"/>
  <c r="C56" i="3"/>
  <c r="E55" i="3"/>
  <c r="C55" i="3"/>
  <c r="C76" i="3" s="1"/>
  <c r="E49" i="3"/>
  <c r="D49" i="3"/>
  <c r="C49" i="3"/>
  <c r="E48" i="3"/>
  <c r="D48" i="3"/>
  <c r="C48" i="3"/>
  <c r="E47" i="3"/>
  <c r="D47" i="3"/>
  <c r="C47" i="3"/>
  <c r="E45" i="3"/>
  <c r="D45" i="3"/>
  <c r="C45" i="3"/>
  <c r="E44" i="3"/>
  <c r="D44" i="3"/>
  <c r="C44" i="3"/>
  <c r="E43" i="3"/>
  <c r="D43" i="3"/>
  <c r="C43" i="3"/>
  <c r="E42" i="3"/>
  <c r="D42" i="3"/>
  <c r="C42" i="3"/>
  <c r="E40" i="3"/>
  <c r="D40" i="3"/>
  <c r="C40" i="3"/>
  <c r="E39" i="3"/>
  <c r="D39" i="3"/>
  <c r="C39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E50" i="3" s="1"/>
  <c r="D14" i="3"/>
  <c r="C14" i="3"/>
  <c r="C50" i="3" s="1"/>
  <c r="C8" i="3"/>
  <c r="C6" i="3"/>
  <c r="A5" i="3"/>
  <c r="C4" i="3"/>
  <c r="A4" i="3"/>
  <c r="A3" i="3"/>
  <c r="A2" i="3"/>
  <c r="E344" i="2"/>
  <c r="E343" i="2"/>
  <c r="E335" i="2"/>
  <c r="E334" i="2"/>
  <c r="C329" i="2"/>
  <c r="C321" i="2"/>
  <c r="E301" i="2"/>
  <c r="D301" i="2"/>
  <c r="C301" i="2"/>
  <c r="E300" i="2"/>
  <c r="D300" i="2"/>
  <c r="C300" i="2"/>
  <c r="E299" i="2"/>
  <c r="D299" i="2"/>
  <c r="C299" i="2"/>
  <c r="E298" i="2"/>
  <c r="D298" i="2"/>
  <c r="C298" i="2"/>
  <c r="E297" i="2"/>
  <c r="D297" i="2"/>
  <c r="C297" i="2"/>
  <c r="E296" i="2"/>
  <c r="D296" i="2"/>
  <c r="C296" i="2"/>
  <c r="E295" i="2"/>
  <c r="E302" i="2" s="1"/>
  <c r="D295" i="2"/>
  <c r="C295" i="2"/>
  <c r="E289" i="2"/>
  <c r="D289" i="2"/>
  <c r="C289" i="2"/>
  <c r="E288" i="2"/>
  <c r="D288" i="2"/>
  <c r="C288" i="2"/>
  <c r="E287" i="2"/>
  <c r="E290" i="2" s="1"/>
  <c r="D287" i="2"/>
  <c r="C287" i="2"/>
  <c r="E286" i="2"/>
  <c r="D286" i="2"/>
  <c r="C286" i="2"/>
  <c r="C290" i="2" s="1"/>
  <c r="E285" i="2"/>
  <c r="D285" i="2"/>
  <c r="C285" i="2"/>
  <c r="E279" i="2"/>
  <c r="D279" i="2"/>
  <c r="C279" i="2"/>
  <c r="E278" i="2"/>
  <c r="D278" i="2"/>
  <c r="C278" i="2"/>
  <c r="E277" i="2"/>
  <c r="D277" i="2"/>
  <c r="C277" i="2"/>
  <c r="E276" i="2"/>
  <c r="D276" i="2"/>
  <c r="C276" i="2"/>
  <c r="E275" i="2"/>
  <c r="D275" i="2"/>
  <c r="C275" i="2"/>
  <c r="E274" i="2"/>
  <c r="D274" i="2"/>
  <c r="C274" i="2"/>
  <c r="E272" i="2"/>
  <c r="D272" i="2"/>
  <c r="C272" i="2"/>
  <c r="E271" i="2"/>
  <c r="D271" i="2"/>
  <c r="C271" i="2"/>
  <c r="E270" i="2"/>
  <c r="D270" i="2"/>
  <c r="C270" i="2"/>
  <c r="E269" i="2"/>
  <c r="D269" i="2"/>
  <c r="C269" i="2"/>
  <c r="E268" i="2"/>
  <c r="D268" i="2"/>
  <c r="C268" i="2"/>
  <c r="E267" i="2"/>
  <c r="D267" i="2"/>
  <c r="C267" i="2"/>
  <c r="E266" i="2"/>
  <c r="D266" i="2"/>
  <c r="C266" i="2"/>
  <c r="E265" i="2"/>
  <c r="D265" i="2"/>
  <c r="C265" i="2"/>
  <c r="E264" i="2"/>
  <c r="D264" i="2"/>
  <c r="C264" i="2"/>
  <c r="E263" i="2"/>
  <c r="D263" i="2"/>
  <c r="C263" i="2"/>
  <c r="E262" i="2"/>
  <c r="D262" i="2"/>
  <c r="C262" i="2"/>
  <c r="E261" i="2"/>
  <c r="D261" i="2"/>
  <c r="C261" i="2"/>
  <c r="E260" i="2"/>
  <c r="D260" i="2"/>
  <c r="C260" i="2"/>
  <c r="E259" i="2"/>
  <c r="D259" i="2"/>
  <c r="C259" i="2"/>
  <c r="E258" i="2"/>
  <c r="D258" i="2"/>
  <c r="C258" i="2"/>
  <c r="E257" i="2"/>
  <c r="D257" i="2"/>
  <c r="C257" i="2"/>
  <c r="E256" i="2"/>
  <c r="D256" i="2"/>
  <c r="C256" i="2"/>
  <c r="E255" i="2"/>
  <c r="D255" i="2"/>
  <c r="C255" i="2"/>
  <c r="E253" i="2"/>
  <c r="D253" i="2"/>
  <c r="C253" i="2"/>
  <c r="E252" i="2"/>
  <c r="D252" i="2"/>
  <c r="C252" i="2"/>
  <c r="E251" i="2"/>
  <c r="D251" i="2"/>
  <c r="C251" i="2"/>
  <c r="E250" i="2"/>
  <c r="D250" i="2"/>
  <c r="C250" i="2"/>
  <c r="E249" i="2"/>
  <c r="D249" i="2"/>
  <c r="C249" i="2"/>
  <c r="E248" i="2"/>
  <c r="D248" i="2"/>
  <c r="C248" i="2"/>
  <c r="E247" i="2"/>
  <c r="D247" i="2"/>
  <c r="C247" i="2"/>
  <c r="E246" i="2"/>
  <c r="D246" i="2"/>
  <c r="C246" i="2"/>
  <c r="E245" i="2"/>
  <c r="D245" i="2"/>
  <c r="C245" i="2"/>
  <c r="E244" i="2"/>
  <c r="D244" i="2"/>
  <c r="C244" i="2"/>
  <c r="E243" i="2"/>
  <c r="E280" i="2" s="1"/>
  <c r="D243" i="2"/>
  <c r="C243" i="2"/>
  <c r="E242" i="2"/>
  <c r="D242" i="2"/>
  <c r="C242" i="2"/>
  <c r="E241" i="2"/>
  <c r="D241" i="2"/>
  <c r="C241" i="2"/>
  <c r="E240" i="2"/>
  <c r="D240" i="2"/>
  <c r="C240" i="2"/>
  <c r="C280" i="2" s="1"/>
  <c r="E236" i="2"/>
  <c r="C236" i="2"/>
  <c r="C231" i="2"/>
  <c r="E230" i="2"/>
  <c r="D230" i="2"/>
  <c r="C230" i="2"/>
  <c r="E229" i="2"/>
  <c r="E231" i="2" s="1"/>
  <c r="E306" i="2" s="1"/>
  <c r="D229" i="2"/>
  <c r="C229" i="2"/>
  <c r="C224" i="2"/>
  <c r="E216" i="2"/>
  <c r="D216" i="2"/>
  <c r="C216" i="2"/>
  <c r="E215" i="2"/>
  <c r="C215" i="2"/>
  <c r="E214" i="2"/>
  <c r="D214" i="2"/>
  <c r="C214" i="2"/>
  <c r="E213" i="2"/>
  <c r="D213" i="2"/>
  <c r="C213" i="2"/>
  <c r="E212" i="2"/>
  <c r="D212" i="2"/>
  <c r="C212" i="2"/>
  <c r="E211" i="2"/>
  <c r="D211" i="2"/>
  <c r="C211" i="2"/>
  <c r="E210" i="2"/>
  <c r="D210" i="2"/>
  <c r="C210" i="2"/>
  <c r="C217" i="2" s="1"/>
  <c r="E209" i="2"/>
  <c r="D209" i="2"/>
  <c r="C209" i="2"/>
  <c r="E208" i="2"/>
  <c r="E217" i="2" s="1"/>
  <c r="D208" i="2"/>
  <c r="C208" i="2"/>
  <c r="E202" i="2"/>
  <c r="D202" i="2"/>
  <c r="C202" i="2"/>
  <c r="E201" i="2"/>
  <c r="D201" i="2"/>
  <c r="C201" i="2"/>
  <c r="E200" i="2"/>
  <c r="D200" i="2"/>
  <c r="C200" i="2"/>
  <c r="E199" i="2"/>
  <c r="D199" i="2"/>
  <c r="C199" i="2"/>
  <c r="E198" i="2"/>
  <c r="D198" i="2"/>
  <c r="C198" i="2"/>
  <c r="E197" i="2"/>
  <c r="D197" i="2"/>
  <c r="C197" i="2"/>
  <c r="E196" i="2"/>
  <c r="D196" i="2"/>
  <c r="C196" i="2"/>
  <c r="E195" i="2"/>
  <c r="D195" i="2"/>
  <c r="C195" i="2"/>
  <c r="E194" i="2"/>
  <c r="D194" i="2"/>
  <c r="C194" i="2"/>
  <c r="E193" i="2"/>
  <c r="D193" i="2"/>
  <c r="C193" i="2"/>
  <c r="E192" i="2"/>
  <c r="D192" i="2"/>
  <c r="C192" i="2"/>
  <c r="E191" i="2"/>
  <c r="D191" i="2"/>
  <c r="C191" i="2"/>
  <c r="E190" i="2"/>
  <c r="D190" i="2"/>
  <c r="C190" i="2"/>
  <c r="E189" i="2"/>
  <c r="D189" i="2"/>
  <c r="C189" i="2"/>
  <c r="E188" i="2"/>
  <c r="D188" i="2"/>
  <c r="C188" i="2"/>
  <c r="E187" i="2"/>
  <c r="D187" i="2"/>
  <c r="C187" i="2"/>
  <c r="E186" i="2"/>
  <c r="D186" i="2"/>
  <c r="C186" i="2"/>
  <c r="E185" i="2"/>
  <c r="D185" i="2"/>
  <c r="C185" i="2"/>
  <c r="E184" i="2"/>
  <c r="D184" i="2"/>
  <c r="C184" i="2"/>
  <c r="E183" i="2"/>
  <c r="D183" i="2"/>
  <c r="C183" i="2"/>
  <c r="E182" i="2"/>
  <c r="D182" i="2"/>
  <c r="C182" i="2"/>
  <c r="E181" i="2"/>
  <c r="D181" i="2"/>
  <c r="C181" i="2"/>
  <c r="E180" i="2"/>
  <c r="D180" i="2"/>
  <c r="C180" i="2"/>
  <c r="E179" i="2"/>
  <c r="D179" i="2"/>
  <c r="C179" i="2"/>
  <c r="E178" i="2"/>
  <c r="D178" i="2"/>
  <c r="C178" i="2"/>
  <c r="E177" i="2"/>
  <c r="D177" i="2"/>
  <c r="C177" i="2"/>
  <c r="E176" i="2"/>
  <c r="D176" i="2"/>
  <c r="C176" i="2"/>
  <c r="E175" i="2"/>
  <c r="D175" i="2"/>
  <c r="C175" i="2"/>
  <c r="C203" i="2" s="1"/>
  <c r="E174" i="2"/>
  <c r="D174" i="2"/>
  <c r="C174" i="2"/>
  <c r="E173" i="2"/>
  <c r="D173" i="2"/>
  <c r="C173" i="2"/>
  <c r="E172" i="2"/>
  <c r="E203" i="2" s="1"/>
  <c r="D172" i="2"/>
  <c r="C172" i="2"/>
  <c r="E166" i="2"/>
  <c r="D166" i="2"/>
  <c r="C166" i="2"/>
  <c r="E165" i="2"/>
  <c r="D165" i="2"/>
  <c r="C165" i="2"/>
  <c r="E164" i="2"/>
  <c r="D164" i="2"/>
  <c r="C164" i="2"/>
  <c r="E163" i="2"/>
  <c r="D163" i="2"/>
  <c r="C163" i="2"/>
  <c r="E162" i="2"/>
  <c r="D162" i="2"/>
  <c r="C162" i="2"/>
  <c r="E161" i="2"/>
  <c r="D161" i="2"/>
  <c r="C161" i="2"/>
  <c r="E160" i="2"/>
  <c r="E167" i="2" s="1"/>
  <c r="D160" i="2"/>
  <c r="C160" i="2"/>
  <c r="C167" i="2" s="1"/>
  <c r="E154" i="2"/>
  <c r="D154" i="2"/>
  <c r="C154" i="2"/>
  <c r="E153" i="2"/>
  <c r="E155" i="2" s="1"/>
  <c r="D153" i="2"/>
  <c r="C153" i="2"/>
  <c r="C155" i="2" s="1"/>
  <c r="E146" i="2"/>
  <c r="D146" i="2"/>
  <c r="C146" i="2"/>
  <c r="E145" i="2"/>
  <c r="D145" i="2"/>
  <c r="C145" i="2"/>
  <c r="E144" i="2"/>
  <c r="D144" i="2"/>
  <c r="C144" i="2"/>
  <c r="E143" i="2"/>
  <c r="D143" i="2"/>
  <c r="C143" i="2"/>
  <c r="C147" i="2" s="1"/>
  <c r="E142" i="2"/>
  <c r="D142" i="2"/>
  <c r="C142" i="2"/>
  <c r="E141" i="2"/>
  <c r="E147" i="2" s="1"/>
  <c r="D141" i="2"/>
  <c r="C141" i="2"/>
  <c r="E138" i="2"/>
  <c r="D138" i="2"/>
  <c r="C138" i="2"/>
  <c r="E137" i="2"/>
  <c r="D137" i="2"/>
  <c r="C137" i="2"/>
  <c r="E136" i="2"/>
  <c r="D136" i="2"/>
  <c r="C136" i="2"/>
  <c r="E135" i="2"/>
  <c r="D135" i="2"/>
  <c r="C135" i="2"/>
  <c r="E134" i="2"/>
  <c r="D134" i="2"/>
  <c r="C134" i="2"/>
  <c r="E133" i="2"/>
  <c r="D133" i="2"/>
  <c r="C133" i="2"/>
  <c r="E132" i="2"/>
  <c r="D132" i="2"/>
  <c r="C132" i="2"/>
  <c r="E131" i="2"/>
  <c r="D131" i="2"/>
  <c r="C131" i="2"/>
  <c r="E130" i="2"/>
  <c r="D130" i="2"/>
  <c r="C130" i="2"/>
  <c r="E129" i="2"/>
  <c r="D129" i="2"/>
  <c r="C129" i="2"/>
  <c r="E128" i="2"/>
  <c r="E139" i="2" s="1"/>
  <c r="E148" i="2" s="1"/>
  <c r="D128" i="2"/>
  <c r="C128" i="2"/>
  <c r="E127" i="2"/>
  <c r="D127" i="2"/>
  <c r="C127" i="2"/>
  <c r="C139" i="2" s="1"/>
  <c r="C148" i="2" s="1"/>
  <c r="E126" i="2"/>
  <c r="D126" i="2"/>
  <c r="C126" i="2"/>
  <c r="C121" i="2"/>
  <c r="E115" i="2"/>
  <c r="D115" i="2"/>
  <c r="C115" i="2"/>
  <c r="E114" i="2"/>
  <c r="E116" i="2" s="1"/>
  <c r="D114" i="2"/>
  <c r="C114" i="2"/>
  <c r="C116" i="2" s="1"/>
  <c r="F108" i="2"/>
  <c r="E108" i="2"/>
  <c r="D108" i="2"/>
  <c r="C108" i="2"/>
  <c r="F107" i="2"/>
  <c r="F109" i="2" s="1"/>
  <c r="E107" i="2"/>
  <c r="E109" i="2" s="1"/>
  <c r="D107" i="2"/>
  <c r="C107" i="2"/>
  <c r="F106" i="2"/>
  <c r="E106" i="2"/>
  <c r="D106" i="2"/>
  <c r="C106" i="2"/>
  <c r="F105" i="2"/>
  <c r="E105" i="2"/>
  <c r="D105" i="2"/>
  <c r="C105" i="2"/>
  <c r="F104" i="2"/>
  <c r="E104" i="2"/>
  <c r="D104" i="2"/>
  <c r="C104" i="2"/>
  <c r="F103" i="2"/>
  <c r="E103" i="2"/>
  <c r="D103" i="2"/>
  <c r="D109" i="2" s="1"/>
  <c r="C103" i="2"/>
  <c r="C109" i="2" s="1"/>
  <c r="F102" i="2"/>
  <c r="E102" i="2"/>
  <c r="D102" i="2"/>
  <c r="C102" i="2"/>
  <c r="F101" i="2"/>
  <c r="E101" i="2"/>
  <c r="D101" i="2"/>
  <c r="C101" i="2"/>
  <c r="F100" i="2"/>
  <c r="E100" i="2"/>
  <c r="D100" i="2"/>
  <c r="C100" i="2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E83" i="2"/>
  <c r="C83" i="2"/>
  <c r="E82" i="2"/>
  <c r="C82" i="2"/>
  <c r="E81" i="2"/>
  <c r="E84" i="2" s="1"/>
  <c r="C81" i="2"/>
  <c r="C84" i="2" s="1"/>
  <c r="E75" i="2"/>
  <c r="C75" i="2"/>
  <c r="E74" i="2"/>
  <c r="C74" i="2"/>
  <c r="E73" i="2"/>
  <c r="C73" i="2"/>
  <c r="E72" i="2"/>
  <c r="C72" i="2"/>
  <c r="E71" i="2"/>
  <c r="C71" i="2"/>
  <c r="E70" i="2"/>
  <c r="C70" i="2"/>
  <c r="E69" i="2"/>
  <c r="E68" i="2" s="1"/>
  <c r="C69" i="2"/>
  <c r="C68" i="2"/>
  <c r="E67" i="2"/>
  <c r="C67" i="2"/>
  <c r="E66" i="2"/>
  <c r="C66" i="2"/>
  <c r="E65" i="2"/>
  <c r="C65" i="2"/>
  <c r="E64" i="2"/>
  <c r="C64" i="2"/>
  <c r="E63" i="2"/>
  <c r="C63" i="2"/>
  <c r="E62" i="2"/>
  <c r="C62" i="2"/>
  <c r="E61" i="2"/>
  <c r="C61" i="2"/>
  <c r="E60" i="2"/>
  <c r="C60" i="2"/>
  <c r="E59" i="2"/>
  <c r="C59" i="2"/>
  <c r="E58" i="2"/>
  <c r="C58" i="2"/>
  <c r="E57" i="2"/>
  <c r="C57" i="2"/>
  <c r="E56" i="2"/>
  <c r="C56" i="2"/>
  <c r="E55" i="2"/>
  <c r="C55" i="2"/>
  <c r="C76" i="2" s="1"/>
  <c r="E49" i="2"/>
  <c r="D49" i="2"/>
  <c r="C49" i="2"/>
  <c r="E48" i="2"/>
  <c r="D48" i="2"/>
  <c r="C48" i="2"/>
  <c r="E47" i="2"/>
  <c r="D47" i="2"/>
  <c r="C47" i="2"/>
  <c r="E45" i="2"/>
  <c r="D45" i="2"/>
  <c r="C45" i="2"/>
  <c r="E44" i="2"/>
  <c r="D44" i="2"/>
  <c r="C44" i="2"/>
  <c r="E43" i="2"/>
  <c r="D43" i="2"/>
  <c r="C43" i="2"/>
  <c r="E42" i="2"/>
  <c r="D42" i="2"/>
  <c r="C42" i="2"/>
  <c r="E40" i="2"/>
  <c r="D40" i="2"/>
  <c r="C40" i="2"/>
  <c r="E39" i="2"/>
  <c r="D39" i="2"/>
  <c r="C39" i="2"/>
  <c r="E37" i="2"/>
  <c r="D37" i="2"/>
  <c r="C37" i="2"/>
  <c r="E36" i="2"/>
  <c r="D36" i="2"/>
  <c r="C36" i="2"/>
  <c r="E35" i="2"/>
  <c r="D35" i="2"/>
  <c r="C35" i="2"/>
  <c r="E34" i="2"/>
  <c r="D34" i="2"/>
  <c r="C34" i="2"/>
  <c r="E33" i="2"/>
  <c r="D33" i="2"/>
  <c r="C33" i="2"/>
  <c r="E32" i="2"/>
  <c r="D32" i="2"/>
  <c r="C32" i="2"/>
  <c r="E31" i="2"/>
  <c r="D31" i="2"/>
  <c r="C31" i="2"/>
  <c r="E30" i="2"/>
  <c r="D30" i="2"/>
  <c r="C30" i="2"/>
  <c r="E29" i="2"/>
  <c r="D29" i="2"/>
  <c r="C29" i="2"/>
  <c r="E28" i="2"/>
  <c r="D28" i="2"/>
  <c r="C28" i="2"/>
  <c r="E26" i="2"/>
  <c r="D26" i="2"/>
  <c r="C26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E20" i="2"/>
  <c r="D20" i="2"/>
  <c r="C20" i="2"/>
  <c r="E19" i="2"/>
  <c r="D19" i="2"/>
  <c r="C19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E50" i="2" s="1"/>
  <c r="D14" i="2"/>
  <c r="C14" i="2"/>
  <c r="C50" i="2" s="1"/>
  <c r="C8" i="2"/>
  <c r="C6" i="2"/>
  <c r="A5" i="2"/>
  <c r="C4" i="2"/>
  <c r="A4" i="2"/>
  <c r="A3" i="2"/>
  <c r="A2" i="2"/>
  <c r="E344" i="1"/>
  <c r="E343" i="1"/>
  <c r="E335" i="1"/>
  <c r="E334" i="1"/>
  <c r="C321" i="1"/>
  <c r="C329" i="1" s="1"/>
  <c r="E301" i="1"/>
  <c r="D301" i="1"/>
  <c r="C301" i="1"/>
  <c r="E300" i="1"/>
  <c r="D300" i="1"/>
  <c r="C300" i="1"/>
  <c r="E299" i="1"/>
  <c r="D299" i="1"/>
  <c r="C299" i="1"/>
  <c r="E298" i="1"/>
  <c r="D298" i="1"/>
  <c r="C298" i="1"/>
  <c r="E297" i="1"/>
  <c r="D297" i="1"/>
  <c r="C297" i="1"/>
  <c r="E296" i="1"/>
  <c r="D296" i="1"/>
  <c r="C296" i="1"/>
  <c r="E295" i="1"/>
  <c r="E302" i="1" s="1"/>
  <c r="D295" i="1"/>
  <c r="C295" i="1"/>
  <c r="E289" i="1"/>
  <c r="D289" i="1"/>
  <c r="C289" i="1"/>
  <c r="E288" i="1"/>
  <c r="D288" i="1"/>
  <c r="C288" i="1"/>
  <c r="E287" i="1"/>
  <c r="E290" i="1" s="1"/>
  <c r="D287" i="1"/>
  <c r="C287" i="1"/>
  <c r="E286" i="1"/>
  <c r="D286" i="1"/>
  <c r="C286" i="1"/>
  <c r="C290" i="1" s="1"/>
  <c r="E285" i="1"/>
  <c r="D285" i="1"/>
  <c r="C285" i="1"/>
  <c r="E279" i="1"/>
  <c r="D279" i="1"/>
  <c r="C279" i="1"/>
  <c r="E278" i="1"/>
  <c r="D278" i="1"/>
  <c r="C278" i="1"/>
  <c r="E277" i="1"/>
  <c r="D277" i="1"/>
  <c r="C277" i="1"/>
  <c r="E276" i="1"/>
  <c r="D276" i="1"/>
  <c r="C276" i="1"/>
  <c r="E275" i="1"/>
  <c r="D275" i="1"/>
  <c r="C275" i="1"/>
  <c r="E274" i="1"/>
  <c r="D274" i="1"/>
  <c r="C274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C260" i="1"/>
  <c r="E259" i="1"/>
  <c r="D259" i="1"/>
  <c r="C259" i="1"/>
  <c r="E258" i="1"/>
  <c r="D258" i="1"/>
  <c r="C258" i="1"/>
  <c r="E257" i="1"/>
  <c r="D257" i="1"/>
  <c r="C257" i="1"/>
  <c r="E256" i="1"/>
  <c r="D256" i="1"/>
  <c r="C256" i="1"/>
  <c r="E255" i="1"/>
  <c r="D255" i="1"/>
  <c r="C255" i="1"/>
  <c r="E253" i="1"/>
  <c r="D253" i="1"/>
  <c r="C253" i="1"/>
  <c r="E252" i="1"/>
  <c r="D252" i="1"/>
  <c r="C252" i="1"/>
  <c r="E251" i="1"/>
  <c r="D251" i="1"/>
  <c r="C251" i="1"/>
  <c r="E250" i="1"/>
  <c r="D250" i="1"/>
  <c r="C250" i="1"/>
  <c r="E249" i="1"/>
  <c r="D249" i="1"/>
  <c r="C249" i="1"/>
  <c r="E248" i="1"/>
  <c r="D248" i="1"/>
  <c r="C248" i="1"/>
  <c r="E247" i="1"/>
  <c r="D247" i="1"/>
  <c r="C247" i="1"/>
  <c r="E246" i="1"/>
  <c r="D246" i="1"/>
  <c r="C246" i="1"/>
  <c r="E245" i="1"/>
  <c r="D245" i="1"/>
  <c r="C245" i="1"/>
  <c r="E244" i="1"/>
  <c r="D244" i="1"/>
  <c r="C244" i="1"/>
  <c r="E243" i="1"/>
  <c r="E280" i="1" s="1"/>
  <c r="D243" i="1"/>
  <c r="C243" i="1"/>
  <c r="E242" i="1"/>
  <c r="D242" i="1"/>
  <c r="C242" i="1"/>
  <c r="E241" i="1"/>
  <c r="D241" i="1"/>
  <c r="C241" i="1"/>
  <c r="E240" i="1"/>
  <c r="D240" i="1"/>
  <c r="C240" i="1"/>
  <c r="C280" i="1" s="1"/>
  <c r="E236" i="1"/>
  <c r="C236" i="1"/>
  <c r="C231" i="1"/>
  <c r="E230" i="1"/>
  <c r="D230" i="1"/>
  <c r="C230" i="1"/>
  <c r="E229" i="1"/>
  <c r="E231" i="1" s="1"/>
  <c r="D229" i="1"/>
  <c r="C229" i="1"/>
  <c r="C224" i="1"/>
  <c r="E216" i="1"/>
  <c r="D216" i="1"/>
  <c r="C216" i="1"/>
  <c r="E215" i="1"/>
  <c r="C215" i="1"/>
  <c r="E214" i="1"/>
  <c r="D214" i="1"/>
  <c r="C214" i="1"/>
  <c r="E213" i="1"/>
  <c r="D213" i="1"/>
  <c r="C213" i="1"/>
  <c r="E212" i="1"/>
  <c r="D212" i="1"/>
  <c r="C212" i="1"/>
  <c r="E211" i="1"/>
  <c r="D211" i="1"/>
  <c r="C211" i="1"/>
  <c r="E210" i="1"/>
  <c r="D210" i="1"/>
  <c r="C210" i="1"/>
  <c r="C217" i="1" s="1"/>
  <c r="E209" i="1"/>
  <c r="D209" i="1"/>
  <c r="C209" i="1"/>
  <c r="E208" i="1"/>
  <c r="E217" i="1" s="1"/>
  <c r="D208" i="1"/>
  <c r="C208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C203" i="1" s="1"/>
  <c r="E174" i="1"/>
  <c r="D174" i="1"/>
  <c r="C174" i="1"/>
  <c r="E173" i="1"/>
  <c r="D173" i="1"/>
  <c r="C173" i="1"/>
  <c r="E172" i="1"/>
  <c r="E203" i="1" s="1"/>
  <c r="D172" i="1"/>
  <c r="C172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E167" i="1" s="1"/>
  <c r="D160" i="1"/>
  <c r="C160" i="1"/>
  <c r="C167" i="1" s="1"/>
  <c r="E154" i="1"/>
  <c r="D154" i="1"/>
  <c r="C154" i="1"/>
  <c r="E153" i="1"/>
  <c r="E155" i="1" s="1"/>
  <c r="D153" i="1"/>
  <c r="C153" i="1"/>
  <c r="C155" i="1" s="1"/>
  <c r="E146" i="1"/>
  <c r="D146" i="1"/>
  <c r="C146" i="1"/>
  <c r="E145" i="1"/>
  <c r="D145" i="1"/>
  <c r="C145" i="1"/>
  <c r="E144" i="1"/>
  <c r="D144" i="1"/>
  <c r="C144" i="1"/>
  <c r="E143" i="1"/>
  <c r="D143" i="1"/>
  <c r="C143" i="1"/>
  <c r="C147" i="1" s="1"/>
  <c r="E142" i="1"/>
  <c r="D142" i="1"/>
  <c r="C142" i="1"/>
  <c r="E141" i="1"/>
  <c r="E147" i="1" s="1"/>
  <c r="D141" i="1"/>
  <c r="C141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E139" i="1" s="1"/>
  <c r="E148" i="1" s="1"/>
  <c r="D128" i="1"/>
  <c r="C128" i="1"/>
  <c r="E127" i="1"/>
  <c r="D127" i="1"/>
  <c r="C127" i="1"/>
  <c r="C139" i="1" s="1"/>
  <c r="E126" i="1"/>
  <c r="D126" i="1"/>
  <c r="C126" i="1"/>
  <c r="C121" i="1"/>
  <c r="E115" i="1"/>
  <c r="D115" i="1"/>
  <c r="C115" i="1"/>
  <c r="E114" i="1"/>
  <c r="E116" i="1" s="1"/>
  <c r="D114" i="1"/>
  <c r="C114" i="1"/>
  <c r="C116" i="1" s="1"/>
  <c r="F108" i="1"/>
  <c r="E108" i="1"/>
  <c r="D108" i="1"/>
  <c r="C108" i="1"/>
  <c r="F107" i="1"/>
  <c r="F109" i="1" s="1"/>
  <c r="E107" i="1"/>
  <c r="E109" i="1" s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D109" i="1" s="1"/>
  <c r="C103" i="1"/>
  <c r="C109" i="1" s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E83" i="1"/>
  <c r="C83" i="1"/>
  <c r="E82" i="1"/>
  <c r="C82" i="1"/>
  <c r="E81" i="1"/>
  <c r="E84" i="1" s="1"/>
  <c r="C81" i="1"/>
  <c r="C84" i="1" s="1"/>
  <c r="E75" i="1"/>
  <c r="C75" i="1"/>
  <c r="E74" i="1"/>
  <c r="C74" i="1"/>
  <c r="E73" i="1"/>
  <c r="C73" i="1"/>
  <c r="E72" i="1"/>
  <c r="C72" i="1"/>
  <c r="E71" i="1"/>
  <c r="C71" i="1"/>
  <c r="E70" i="1"/>
  <c r="C70" i="1"/>
  <c r="E69" i="1"/>
  <c r="E68" i="1" s="1"/>
  <c r="C69" i="1"/>
  <c r="C68" i="1"/>
  <c r="E67" i="1"/>
  <c r="C67" i="1"/>
  <c r="E66" i="1"/>
  <c r="C66" i="1"/>
  <c r="E65" i="1"/>
  <c r="C65" i="1"/>
  <c r="E64" i="1"/>
  <c r="C64" i="1"/>
  <c r="E63" i="1"/>
  <c r="C63" i="1"/>
  <c r="E62" i="1"/>
  <c r="C62" i="1"/>
  <c r="E61" i="1"/>
  <c r="C61" i="1"/>
  <c r="E60" i="1"/>
  <c r="C60" i="1"/>
  <c r="E59" i="1"/>
  <c r="C59" i="1"/>
  <c r="E58" i="1"/>
  <c r="C58" i="1"/>
  <c r="E57" i="1"/>
  <c r="C57" i="1"/>
  <c r="E56" i="1"/>
  <c r="C56" i="1"/>
  <c r="E55" i="1"/>
  <c r="E76" i="1" s="1"/>
  <c r="C55" i="1"/>
  <c r="C76" i="1" s="1"/>
  <c r="E49" i="1"/>
  <c r="D49" i="1"/>
  <c r="C49" i="1"/>
  <c r="E48" i="1"/>
  <c r="D48" i="1"/>
  <c r="C48" i="1"/>
  <c r="E47" i="1"/>
  <c r="D47" i="1"/>
  <c r="C47" i="1"/>
  <c r="E45" i="1"/>
  <c r="D45" i="1"/>
  <c r="C45" i="1"/>
  <c r="E44" i="1"/>
  <c r="D44" i="1"/>
  <c r="C44" i="1"/>
  <c r="E43" i="1"/>
  <c r="D43" i="1"/>
  <c r="C43" i="1"/>
  <c r="E42" i="1"/>
  <c r="D42" i="1"/>
  <c r="C42" i="1"/>
  <c r="E40" i="1"/>
  <c r="D40" i="1"/>
  <c r="C40" i="1"/>
  <c r="E39" i="1"/>
  <c r="D39" i="1"/>
  <c r="C39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E50" i="1" s="1"/>
  <c r="D14" i="1"/>
  <c r="C14" i="1"/>
  <c r="C50" i="1" s="1"/>
  <c r="C8" i="1"/>
  <c r="C6" i="1"/>
  <c r="A5" i="1"/>
  <c r="C4" i="1"/>
  <c r="A4" i="1"/>
  <c r="A3" i="1"/>
  <c r="A2" i="1"/>
  <c r="E311" i="13" l="1"/>
  <c r="C148" i="12"/>
  <c r="E148" i="12"/>
  <c r="E311" i="12" s="1"/>
  <c r="E148" i="11"/>
  <c r="E76" i="11"/>
  <c r="E311" i="11" s="1"/>
  <c r="C148" i="11"/>
  <c r="C148" i="9"/>
  <c r="E148" i="9"/>
  <c r="E311" i="9" s="1"/>
  <c r="E306" i="8"/>
  <c r="E148" i="8"/>
  <c r="E311" i="8" s="1"/>
  <c r="E148" i="7"/>
  <c r="E76" i="7"/>
  <c r="E311" i="7" s="1"/>
  <c r="C148" i="7"/>
  <c r="E306" i="6"/>
  <c r="E76" i="6"/>
  <c r="E311" i="6" s="1"/>
  <c r="C148" i="6"/>
  <c r="E311" i="5"/>
  <c r="E76" i="5"/>
  <c r="C148" i="5"/>
  <c r="E148" i="5"/>
  <c r="E76" i="4"/>
  <c r="E148" i="4"/>
  <c r="E311" i="4" s="1"/>
  <c r="E148" i="3"/>
  <c r="E76" i="3"/>
  <c r="E311" i="3" s="1"/>
  <c r="C148" i="3"/>
  <c r="E76" i="2"/>
  <c r="E311" i="2"/>
  <c r="E311" i="1"/>
  <c r="E306" i="1"/>
  <c r="C148" i="1"/>
</calcChain>
</file>

<file path=xl/sharedStrings.xml><?xml version="1.0" encoding="utf-8"?>
<sst xmlns="http://schemas.openxmlformats.org/spreadsheetml/2006/main" count="7020" uniqueCount="469">
  <si>
    <t>SERVICIO DE SALUD</t>
  </si>
  <si>
    <t>IDENTIFICACION</t>
  </si>
  <si>
    <t>Mes de Facturación</t>
  </si>
  <si>
    <t>Año de Facturación</t>
  </si>
  <si>
    <t>REM0  -  FACTURACION  PAGO  POR  PRESTACIONES INSTITUCIONALES</t>
  </si>
  <si>
    <t>Establecimiento</t>
  </si>
  <si>
    <t>(P.P.I.)</t>
  </si>
  <si>
    <t>SECCION A: ATENCIONES ABIERTAS (REM 01, 02, 03, 04, 05, 06, 07 y 08)</t>
  </si>
  <si>
    <t>CODIGOS</t>
  </si>
  <si>
    <t>IDENTIFICACION DE PRESTACIONES</t>
  </si>
  <si>
    <t>PRESTACIONES BENEFICIARIOS LEY 18.469</t>
  </si>
  <si>
    <t>ARANCEL UNITARIO ($)</t>
  </si>
  <si>
    <t>PAGO POR PRESTACIONES ($)</t>
  </si>
  <si>
    <t>CONSULTAS Y ATENCION MEDICA</t>
  </si>
  <si>
    <t>0101101</t>
  </si>
  <si>
    <t>Consulta o control médico integral en atención primaria</t>
  </si>
  <si>
    <t>0101102</t>
  </si>
  <si>
    <t>Consulta o control médico integral en especialidades (Hosp. tipo 3)</t>
  </si>
  <si>
    <t>0101103</t>
  </si>
  <si>
    <t>Consulta médica integral en servicio de urgencia (Hosp. tipo 1)</t>
  </si>
  <si>
    <t>0101104</t>
  </si>
  <si>
    <t>Consulta médica integral en C.R.S.</t>
  </si>
  <si>
    <t>0101105</t>
  </si>
  <si>
    <t>Consulta médica integral en servicio de urgencia (Hosp. tipo 2 y 3)</t>
  </si>
  <si>
    <t>0101108</t>
  </si>
  <si>
    <t>Consulta integral de especialidades en Cirugía, Ginecología y Obstetricia, Ortopedia y Traumatología (en C.D.T.)</t>
  </si>
  <si>
    <t>0101109</t>
  </si>
  <si>
    <t>Consulta integral de especialidades en Urología, Otorrinolaringología, Medicina Fisica y Rehabilitación, Dermatología, Pediatría y Subespecialidades (en C.D.T)</t>
  </si>
  <si>
    <t>0101110</t>
  </si>
  <si>
    <t>Consulta integral de especialidades en Medicina Interna y Subespecialidades, Oftalmología, Neurología (en C.D.T.)</t>
  </si>
  <si>
    <t>0101111</t>
  </si>
  <si>
    <t>Consulta integral de especialidades en Cirugía, Ginecología y Obstetricia, Ortopedia y Traumatología (en Hospitales tipo 1 y 2)</t>
  </si>
  <si>
    <t>0101112</t>
  </si>
  <si>
    <t>Consulta integral de especialidades en Urología, Otorrinolaringología, Medicina Fisica y Rehabilitación, Dermatología, Pediatría y Subespecialidades (en Hospitales tipo 1 y 2)</t>
  </si>
  <si>
    <t>0101113</t>
  </si>
  <si>
    <t>Consulta integral de especialidades en Medicina Interna y Subespecialidades, Oftalmología, Neurología (en Hospitales tipo 1 y 2)</t>
  </si>
  <si>
    <t>0903001</t>
  </si>
  <si>
    <t>Consulta de psiquiatría</t>
  </si>
  <si>
    <t>0903006</t>
  </si>
  <si>
    <t>Consultoría de salud mental por psiquiatra (sesión 4 hrs.) (mínimo 8 pacientes)</t>
  </si>
  <si>
    <t>CONSULTAS POR OTROS PROFESIONALES DE LA SALUD</t>
  </si>
  <si>
    <t>0102001</t>
  </si>
  <si>
    <t>Consulta o control por enfermera, matrona o nutricionista</t>
  </si>
  <si>
    <t>0102002</t>
  </si>
  <si>
    <t>Control de salud niño con EDP por enfermera</t>
  </si>
  <si>
    <t>0102003</t>
  </si>
  <si>
    <t>Consulta o control por auxiliar de enfermería</t>
  </si>
  <si>
    <t>0102005</t>
  </si>
  <si>
    <t>Consulta por fonoaudiólogo</t>
  </si>
  <si>
    <t>0102006</t>
  </si>
  <si>
    <t>Atención kinesiológica integral ambulatoria</t>
  </si>
  <si>
    <t>0102007</t>
  </si>
  <si>
    <t>Atención integral por terapeuta ocupacional</t>
  </si>
  <si>
    <t>0903002</t>
  </si>
  <si>
    <t>Consulta o control psicológico clínico</t>
  </si>
  <si>
    <t>0903003</t>
  </si>
  <si>
    <t>Consulta de salud mental por otros profesionales</t>
  </si>
  <si>
    <t>0903004</t>
  </si>
  <si>
    <t>Intervención psicosocial grupal (4 a 8 pacientes, familiares o cuidadores)</t>
  </si>
  <si>
    <t>0903005</t>
  </si>
  <si>
    <t>Psicoterapia de grupo (por psicólogo o psiquiatra) (4 a 8 pacientes)</t>
  </si>
  <si>
    <t>PROGRAMAS DE REHABILITACION</t>
  </si>
  <si>
    <t>0903007</t>
  </si>
  <si>
    <t>Programa de rehabilitación tipo 1 (mensual, grupo 6 a 10 pers.)</t>
  </si>
  <si>
    <t>0903008</t>
  </si>
  <si>
    <t>Programa de rehabilitación tipo 2 (mensual, grupo 5 a 7 pers.)</t>
  </si>
  <si>
    <t>EDUCACION DE GRUPO</t>
  </si>
  <si>
    <t>0103001</t>
  </si>
  <si>
    <t>Educación de grupo por médico</t>
  </si>
  <si>
    <t>0103002</t>
  </si>
  <si>
    <t>Educación de grupo por enfermera, matrona o nutricionista</t>
  </si>
  <si>
    <t>0103003</t>
  </si>
  <si>
    <t>Educación de grupo por asistente social</t>
  </si>
  <si>
    <t>0103004</t>
  </si>
  <si>
    <t>Educación de grupo por auxiliar de enfermería</t>
  </si>
  <si>
    <t>VISITAS DOMICILIARIAS</t>
  </si>
  <si>
    <t>0104001</t>
  </si>
  <si>
    <t>Visita a domicilio por enfermera, matrona o nutricionista</t>
  </si>
  <si>
    <t>0104002</t>
  </si>
  <si>
    <t>Visita a domicilio por asistente social</t>
  </si>
  <si>
    <t>0104003</t>
  </si>
  <si>
    <t>Visita a domicilio por auxiliar de enfermería</t>
  </si>
  <si>
    <t>SUB-TOTAL FACTURACION SECCION A</t>
  </si>
  <si>
    <t>SECCION B: EXAMENES DE DIAGNOSTICO (Libro Anexo REM 17A)</t>
  </si>
  <si>
    <t>IDENTIFICACION DE EXAMENES</t>
  </si>
  <si>
    <t>03</t>
  </si>
  <si>
    <t xml:space="preserve">LABORATORIO CLINICO, TOTALES </t>
  </si>
  <si>
    <t>0301</t>
  </si>
  <si>
    <t>I HEMATOLOGICOS</t>
  </si>
  <si>
    <t>0302</t>
  </si>
  <si>
    <t>II BIOQUIMICOS</t>
  </si>
  <si>
    <t>0303</t>
  </si>
  <si>
    <t>III HORMONALES</t>
  </si>
  <si>
    <t>0304</t>
  </si>
  <si>
    <t>IV GENETICA</t>
  </si>
  <si>
    <t>0305</t>
  </si>
  <si>
    <t>V INMULOGICOS</t>
  </si>
  <si>
    <t>0306</t>
  </si>
  <si>
    <t>VI MICROBIOLOGICOS</t>
  </si>
  <si>
    <t xml:space="preserve"> a)  BACTERIA Y HONGOS</t>
  </si>
  <si>
    <t xml:space="preserve"> b)  PARASITOS</t>
  </si>
  <si>
    <t xml:space="preserve"> c)  VIRUS</t>
  </si>
  <si>
    <t>0307</t>
  </si>
  <si>
    <t>VII PROC. O DETER. DIRECTAS CON PACIENTES</t>
  </si>
  <si>
    <t>0308</t>
  </si>
  <si>
    <t>VIII DEPOSICIONES, EXUDADOS, SECRECIONES Y OTROS</t>
  </si>
  <si>
    <t>0309</t>
  </si>
  <si>
    <t>IX ORINA</t>
  </si>
  <si>
    <t>04</t>
  </si>
  <si>
    <t xml:space="preserve">IMAGENOLOGIA, TOTALES </t>
  </si>
  <si>
    <t>0401</t>
  </si>
  <si>
    <t xml:space="preserve"> EXAMENES RADIOLOGICOS SIMPLES</t>
  </si>
  <si>
    <t>0402</t>
  </si>
  <si>
    <t xml:space="preserve"> EXAMENES RADIOLOGICOS COMPLEJOS</t>
  </si>
  <si>
    <t>0403</t>
  </si>
  <si>
    <t xml:space="preserve"> TOMOGRAFIA AXIAL COMPUTARIZADA (TAC)</t>
  </si>
  <si>
    <t>0404</t>
  </si>
  <si>
    <t xml:space="preserve"> ECOTOMOGRAFIAS  sin ecografía obstétrica</t>
  </si>
  <si>
    <t>04.04.002 ECOGRAFIA OBSTETRICA</t>
  </si>
  <si>
    <t>0405</t>
  </si>
  <si>
    <t xml:space="preserve">RESONANCIA MAGNÉTICA </t>
  </si>
  <si>
    <t>0801</t>
  </si>
  <si>
    <t xml:space="preserve">ANATOMIA PATOLOGICA, TOTALES </t>
  </si>
  <si>
    <t xml:space="preserve">SUB-TOTAL FACTURACION SECCION B </t>
  </si>
  <si>
    <t>SECCION C: PROCEDIMIENTOS DE MEDICINA NUCLEAR , GINECOLOGIA Y OBSTETRICIA, Y ORTOPEDIA (Libro Anexo REM17A)</t>
  </si>
  <si>
    <t>05</t>
  </si>
  <si>
    <t>PROCEDIMIENTOS DE MEDICINA NUCLEAR</t>
  </si>
  <si>
    <t>PROCEDIMIENTOS DE GINECOLOGIA Y OBSTETRICIA</t>
  </si>
  <si>
    <t>2107</t>
  </si>
  <si>
    <t>PROCEDIMIENTOS DE ORTOPEDIA</t>
  </si>
  <si>
    <t>SUB-TOTAL FACTURACION SECCION C</t>
  </si>
  <si>
    <t>SECCION D: INTERVENCIONES QUIRURGICAS (Libro Anexo REM17A)</t>
  </si>
  <si>
    <t>INTERVENCIONES al 100%</t>
  </si>
  <si>
    <t>INTERVENCIONES al 50%</t>
  </si>
  <si>
    <t>INTERVENCIONES al 75%</t>
  </si>
  <si>
    <t>1103</t>
  </si>
  <si>
    <t>I NEUROCIRUGIA</t>
  </si>
  <si>
    <t>1202</t>
  </si>
  <si>
    <t>II CIRUGIA OFTALMOLOGICA</t>
  </si>
  <si>
    <t>1302</t>
  </si>
  <si>
    <t>III CIRUGIA OTORRINOLOGICA</t>
  </si>
  <si>
    <t>1402</t>
  </si>
  <si>
    <t>IV CIRUGIA DE CABEZA Y CUELLO</t>
  </si>
  <si>
    <t>1502</t>
  </si>
  <si>
    <t>V CIRUGIA PLASTICA Y REPARADORA</t>
  </si>
  <si>
    <t>1602</t>
  </si>
  <si>
    <t>VI DERMATOLOGIA Y TEGUMENTOS</t>
  </si>
  <si>
    <t>1703</t>
  </si>
  <si>
    <t>VII CIRUGIA CARDIOVASCULAR</t>
  </si>
  <si>
    <t>1704</t>
  </si>
  <si>
    <t>VIII CIRUGIA TORAXICA</t>
  </si>
  <si>
    <t>1802</t>
  </si>
  <si>
    <t>IX CIRUGIA ABDOMINAL</t>
  </si>
  <si>
    <t>1803</t>
  </si>
  <si>
    <t>X CIRUGIA PROCTOLOGICA</t>
  </si>
  <si>
    <t>1902</t>
  </si>
  <si>
    <t>XI CIRUGIA UROLOGICA Y SUPRARRENAL</t>
  </si>
  <si>
    <t>2002</t>
  </si>
  <si>
    <t>XII CIRUGIA DE LA MAMA</t>
  </si>
  <si>
    <t>2003</t>
  </si>
  <si>
    <t>XIII CIRUGIA GINECOLOGICA</t>
  </si>
  <si>
    <t>2004</t>
  </si>
  <si>
    <t>XIV CIRUGIA OBSTETRICA</t>
  </si>
  <si>
    <t>CESAREA CON HISTERECTOMIA  2004005</t>
  </si>
  <si>
    <t>CESAREA C/S SALPINGOLIGADURA O SALPINGECTOMIA  2004006</t>
  </si>
  <si>
    <t>Abortos 2004001 y 2004002</t>
  </si>
  <si>
    <t xml:space="preserve">2104 </t>
  </si>
  <si>
    <t xml:space="preserve">XV  TRAUMATOLOGIA </t>
  </si>
  <si>
    <t>XVI  RETIRO ELEMENTOS OSTEOSINTESIS</t>
  </si>
  <si>
    <t>SUB-TOTAL FACTURACION SECCION D</t>
  </si>
  <si>
    <t>SECCION E: PARTOS (Libro Anexo REM17A)</t>
  </si>
  <si>
    <t>2004103</t>
  </si>
  <si>
    <t>Parto normal</t>
  </si>
  <si>
    <t>2004113</t>
  </si>
  <si>
    <t>Parto distósico vaginal</t>
  </si>
  <si>
    <t>SUB-TOTAL FACTURACION SECCION E</t>
  </si>
  <si>
    <t>SECCION F: ATENCION ODONTOLOGICA (GRUPO 27 DEL REM17A)</t>
  </si>
  <si>
    <t>Grupo 27</t>
  </si>
  <si>
    <t>TOTAL GRUPO 27</t>
  </si>
  <si>
    <t>SECCION G: ATENCION CERRADA, DIAS DE HOSPITALIZACION (REM 20)</t>
  </si>
  <si>
    <t>0203001</t>
  </si>
  <si>
    <t>Día cama hospitalización integral, hospitales tipo 1</t>
  </si>
  <si>
    <t>0203102</t>
  </si>
  <si>
    <t>Día cama hospitalización integral, hospitales tipo 2</t>
  </si>
  <si>
    <t>0203103</t>
  </si>
  <si>
    <t>Día cama hospitalización integral, hospitales tipo 3 y 4</t>
  </si>
  <si>
    <t>0203002 a 004</t>
  </si>
  <si>
    <t>Día cama hospitalización integral Unidad Cuidado Intensivo (U.C.I.)</t>
  </si>
  <si>
    <t>0203005 a 007</t>
  </si>
  <si>
    <t>Día cama hospitalización integral en Unidad Tratamiento Intermedio (U.T.I.)</t>
  </si>
  <si>
    <t>0203008</t>
  </si>
  <si>
    <t>Día cama hospitalización integral incubadora</t>
  </si>
  <si>
    <t>0203009</t>
  </si>
  <si>
    <t>Día cama hospitalización integral psiquiatría crónicos</t>
  </si>
  <si>
    <t>0203109</t>
  </si>
  <si>
    <t>Día cama hospitalización integral psiquiatría corta estadía</t>
  </si>
  <si>
    <t>0203110</t>
  </si>
  <si>
    <t>Día cama hospitalización integral psiquiatría mediana estadía</t>
  </si>
  <si>
    <t>0203209</t>
  </si>
  <si>
    <t>Día cama hosp. integral desintoxicación alcohol y drogas</t>
  </si>
  <si>
    <t>0203012</t>
  </si>
  <si>
    <t>Día cama integral geriatría o crónicos</t>
  </si>
  <si>
    <t>0203015</t>
  </si>
  <si>
    <t>Día cuna de hospitalización integral</t>
  </si>
  <si>
    <t>0203016</t>
  </si>
  <si>
    <t xml:space="preserve">Día cama hospitalización integral urgencia H.U.A.P. </t>
  </si>
  <si>
    <t>SUBTOTAL DIAS CAMA DE HOSPITALIZACION</t>
  </si>
  <si>
    <t>MISCELANEOS DIAS CAMA</t>
  </si>
  <si>
    <t>0203010</t>
  </si>
  <si>
    <t>Día cama integral psiquiátrico diurno</t>
  </si>
  <si>
    <t>0203011</t>
  </si>
  <si>
    <t>Día cama integral de observación o día cama integral ambulatorio diurno</t>
  </si>
  <si>
    <t>0203111</t>
  </si>
  <si>
    <t>Camilla de observación en servicio de urgencia</t>
  </si>
  <si>
    <t>0203013</t>
  </si>
  <si>
    <t>Día estada en cámara hiperbárica</t>
  </si>
  <si>
    <t>0203014</t>
  </si>
  <si>
    <t>Día cama hogar embarazada rural (del Servicio de Salud)</t>
  </si>
  <si>
    <t>0203017</t>
  </si>
  <si>
    <t>Día cama hogar protegido paciente psiquiátrico compensado</t>
  </si>
  <si>
    <t>SUBTOTAL MISCELANEOS DIAS CAMA</t>
  </si>
  <si>
    <t>SUB-TOTAL FACTURACION SECCION G</t>
  </si>
  <si>
    <t>SECCION H: ACTIVIDADES PROTECCION ESPECIFICA (REM 17A)</t>
  </si>
  <si>
    <t>0105001</t>
  </si>
  <si>
    <t>Vacunaciones (sólo considera administración) REGISTRAR EN LIBRO</t>
  </si>
  <si>
    <t>0105002 y 003</t>
  </si>
  <si>
    <t>Desparasitación sarna y pediculosis (cada persona) Registrar en LIBRO</t>
  </si>
  <si>
    <t>SUB-TOTAL FACTURACION SECCION H</t>
  </si>
  <si>
    <t>SECCION I: HEMODIALISIS Y PERITONEODIALISIS (LIBRO ANEXO REM017A)</t>
  </si>
  <si>
    <t>1901023</t>
  </si>
  <si>
    <t>Hemodiálisis con insumos incluidos</t>
  </si>
  <si>
    <t>1901024</t>
  </si>
  <si>
    <t>Hemodiálisis sin insumos</t>
  </si>
  <si>
    <t>1901025</t>
  </si>
  <si>
    <t>Peritoneodiálisis (incluye insumos)</t>
  </si>
  <si>
    <t>1901026</t>
  </si>
  <si>
    <t>Peritoneodiálisis continua en paciente crónico (adulto o niños) (tratamiento mensual)</t>
  </si>
  <si>
    <t>1901027</t>
  </si>
  <si>
    <t>Hemodialisis, Tratamiento Mensual (con insumos incluidos)</t>
  </si>
  <si>
    <t>1901028</t>
  </si>
  <si>
    <t>Hemodiálisis con bicarbonato con insumos (por sesion)</t>
  </si>
  <si>
    <t>Hemodiálisis con bicarbonato con insumos (tratamiento mensual)</t>
  </si>
  <si>
    <t>SUB-TOTAL FACTURACION SECCION I</t>
  </si>
  <si>
    <t>SECCION J: PROCEDIMIENTOS DIAGNOSTICOS Y TERAPEUTICOS</t>
  </si>
  <si>
    <t>E.E.G. de 16 o más canales (incluye el cód. 11-01-006)</t>
  </si>
  <si>
    <t>Electroencefalograma (E.E.G.) standard y/o activado...., de 8 canales</t>
  </si>
  <si>
    <t>1701001</t>
  </si>
  <si>
    <t>E.C.G. de reposo (incluye mínimo 12 derivaciones y 4 complejos por derivación)</t>
  </si>
  <si>
    <t>1701003</t>
  </si>
  <si>
    <t>Ergometría (incluye E.C.G. antes, durante y después del ejercicio con monitoreo continuo y medición de la intensidad del esfuerzo)</t>
  </si>
  <si>
    <t>1701006</t>
  </si>
  <si>
    <t>E.C.G. continuo (test Holter o similares, por ej. variabilidad de la frecuencia cardíaca y/o alta resolución del ST y/o depolarización tardía); 20 a 24 horas de registro</t>
  </si>
  <si>
    <t>1701007</t>
  </si>
  <si>
    <t>Ecocardiograma Doppler, con registro (incluye cód.17.01.008)</t>
  </si>
  <si>
    <t>1701045</t>
  </si>
  <si>
    <t>Ecocardiograma Doppler color</t>
  </si>
  <si>
    <t>1701008</t>
  </si>
  <si>
    <t>Ecocardiograma bidimensional (incluye registro modo M, papel fotosensible y fotografía), en adultos o niños (proc. aut.)</t>
  </si>
  <si>
    <t>1701010</t>
  </si>
  <si>
    <t>Sondeo cardíaco derecho c/s termodilución, en adultos o niños</t>
  </si>
  <si>
    <t>1701011</t>
  </si>
  <si>
    <t>Sondeo cardíaco izquierdo y derecho, en adultos o niños</t>
  </si>
  <si>
    <t>1701012</t>
  </si>
  <si>
    <t>Sondeo cardíaco izquierdo, en adultos o niños</t>
  </si>
  <si>
    <t>1701019</t>
  </si>
  <si>
    <t xml:space="preserve">Cinecoronariografía derecha y/o izquierda (incluye sondeo cardíaco izq.  y ventriculografía izq.) </t>
  </si>
  <si>
    <t>1701020</t>
  </si>
  <si>
    <t>Ventriculografía derecha, en adultos o niños (incl. proc. rad. y sondeo cardíaco derecho)</t>
  </si>
  <si>
    <t>1701021</t>
  </si>
  <si>
    <t>Ventriculografía izquierda, en adultos o niños (incl. proc. rad. y sondeo cardíaco izquierdo)</t>
  </si>
  <si>
    <t>1701022</t>
  </si>
  <si>
    <t>Aortografía, en adultos o niños (Incluye proc. rad.)</t>
  </si>
  <si>
    <t>1701023</t>
  </si>
  <si>
    <t>Arteriografía de extremidades, en adultos o niños (incluye proc. rad.)</t>
  </si>
  <si>
    <t>1701024</t>
  </si>
  <si>
    <t xml:space="preserve">Arteriografía selectiva o superselectiva (pulmonar, renal, tronco celíaco, etc)  en adultos o niños (incl. proc. rad.)  </t>
  </si>
  <si>
    <t>1701131</t>
  </si>
  <si>
    <t>Angioplastía Intraluminal coronaria uno o mult. vasos(incl. proc. rad; balón, rotablator, Stent o similar)</t>
  </si>
  <si>
    <t>1701132</t>
  </si>
  <si>
    <t>Angioplastía Intraluminal periférica (incluye proc. rad., balón, Stent o similar)</t>
  </si>
  <si>
    <t>1701043</t>
  </si>
  <si>
    <t>Angioplastía de coartación aórtica (incl. proc. rad.) (proc. completo)</t>
  </si>
  <si>
    <t>1701144</t>
  </si>
  <si>
    <t>Angioplastía de arteria pulmonar o vena cava en niños (incluye proc. rad., balón, Stent o similar)</t>
  </si>
  <si>
    <t>1701033</t>
  </si>
  <si>
    <t>Biopsia endomiocárdica (proc. completo)</t>
  </si>
  <si>
    <t>1701038</t>
  </si>
  <si>
    <t>Septostomía de Rashkind</t>
  </si>
  <si>
    <t>1701035</t>
  </si>
  <si>
    <t>Colocación de sonda marcapaso transitorio (proc. completo)</t>
  </si>
  <si>
    <t>1701141</t>
  </si>
  <si>
    <t>Valvuloplastía mitral o tricúspide (incl. proc. radiológico,  incluye balón)</t>
  </si>
  <si>
    <t>1701142</t>
  </si>
  <si>
    <t>Valvuloplastía aórtica y pulmonar (incl. proc. radiológico,  incluye balón)</t>
  </si>
  <si>
    <t>Gastroduodenoscopía (incluye esofagoscopía)</t>
  </si>
  <si>
    <t>Yeyuno-ileoscopía (incluye esofago-gastro-duodenoscopía)</t>
  </si>
  <si>
    <t>Colonoscopía larga (incluye sigmoidoscopía y ....)</t>
  </si>
  <si>
    <t>14-01-001</t>
  </si>
  <si>
    <t>Punción evacuadora de quiste tiroídeo c/s toma de muestra, c/s inyección de medicamentos</t>
  </si>
  <si>
    <t>11-01-113</t>
  </si>
  <si>
    <t>Angiografía cerebral digital por cateterización femoral (incluye proc. Radiológico, medio de contraste e insumos)</t>
  </si>
  <si>
    <t>SUB-TOTAL FACTURACION SECCION J</t>
  </si>
  <si>
    <t>SECCION K: MISCELANEOS (REM 17A)</t>
  </si>
  <si>
    <t>0101106</t>
  </si>
  <si>
    <t>Asistencia de cardiólogo a cirugías no cardíacas</t>
  </si>
  <si>
    <t>0101107</t>
  </si>
  <si>
    <t>Atención médica del recién nacido</t>
  </si>
  <si>
    <t>0106001</t>
  </si>
  <si>
    <t>Abreu</t>
  </si>
  <si>
    <t>0106002</t>
  </si>
  <si>
    <t>Curación simple ambulatoria</t>
  </si>
  <si>
    <t>0106004</t>
  </si>
  <si>
    <t>Despacho de recetas a crónicos</t>
  </si>
  <si>
    <t>0106005</t>
  </si>
  <si>
    <t>Autocontrol pacientes D.I.D. (mensual)</t>
  </si>
  <si>
    <t>0106006</t>
  </si>
  <si>
    <t>Oxigenoterapia domiciliaria (pacientes oxígeno dependientes)</t>
  </si>
  <si>
    <t>0107001 a 005</t>
  </si>
  <si>
    <t>ACTIVIDAD COMPIN</t>
  </si>
  <si>
    <t>2201102</t>
  </si>
  <si>
    <t>Anestesia peridural o epidural  continua para partos</t>
  </si>
  <si>
    <t>SUB-TOTAL FACTURACION SECCION K</t>
  </si>
  <si>
    <t>SECCION L: FACTURACION POR ATENCIONES SALUD  OCUPACIONAL Y AMBIENTAL (RMC0- SALUD OCUPACIONAL y MEDIO AMBIENTE).</t>
  </si>
  <si>
    <t>43</t>
  </si>
  <si>
    <t>SALUD OCUPACIONAL</t>
  </si>
  <si>
    <t>40 a 42 y 44 a 47</t>
  </si>
  <si>
    <t>SALUD AMBIENTAL</t>
  </si>
  <si>
    <t>SUB-TOTAL FACTURACION SECCION L</t>
  </si>
  <si>
    <t>SECCION M: LENTES, AUDIFONOS, MEDICINA TRANSFUSIONAL, PNDA,  TBC, TRASLADOS Y RONDAS RURALES.</t>
  </si>
  <si>
    <t>3001001</t>
  </si>
  <si>
    <t>Lentes ópticos</t>
  </si>
  <si>
    <t>3001002</t>
  </si>
  <si>
    <t>Audífonos</t>
  </si>
  <si>
    <t>SUB-TOTAL FACTURACION, LENTES Y AUDIFONOS</t>
  </si>
  <si>
    <t>MEDICINA TRANSFUSIONAL</t>
  </si>
  <si>
    <t>Grupo 07</t>
  </si>
  <si>
    <t>Medicina Transfusional</t>
  </si>
  <si>
    <t>PROGRAMA NACIONAL DE DROGAS ANTINEOPLASICAS P.N.D.A. (SOLO SERVICIOS DE SALUD ACREDITADOS)</t>
  </si>
  <si>
    <t>TUMORES DEL ADULTO</t>
  </si>
  <si>
    <t>Nº Pacientes atendidos en el mes</t>
  </si>
  <si>
    <t>3002001</t>
  </si>
  <si>
    <t>Linfoma de Hodgkin</t>
  </si>
  <si>
    <t>3002002</t>
  </si>
  <si>
    <t>Linfoma No Hodgkin no agresivo</t>
  </si>
  <si>
    <t>3002003</t>
  </si>
  <si>
    <t>Linfoma No Hodgkin intermedio</t>
  </si>
  <si>
    <t>3002004</t>
  </si>
  <si>
    <t>Linfoma No Hodgkin., agresivo</t>
  </si>
  <si>
    <t>3002005</t>
  </si>
  <si>
    <t>Leucemia linfoblastica</t>
  </si>
  <si>
    <t>3002006</t>
  </si>
  <si>
    <t>Leucemia Aguda No linfática aguda y Leucemia Promielocítica</t>
  </si>
  <si>
    <t>3002007</t>
  </si>
  <si>
    <t>Cáncer de Testículo y  Germinales extragonadales</t>
  </si>
  <si>
    <t>3002008</t>
  </si>
  <si>
    <t>Enfermedad Trofoblástica Gestacional</t>
  </si>
  <si>
    <t>3002033</t>
  </si>
  <si>
    <t>Rescate de Linfomas</t>
  </si>
  <si>
    <t>3002034</t>
  </si>
  <si>
    <t>Ca. Mama etapa I y II</t>
  </si>
  <si>
    <t>3002135</t>
  </si>
  <si>
    <t>Ca mama etapa III</t>
  </si>
  <si>
    <t>3002136</t>
  </si>
  <si>
    <t>Ca mama etapa IV</t>
  </si>
  <si>
    <t>3002137</t>
  </si>
  <si>
    <t>Ca mama etapa IV metástasis ósea</t>
  </si>
  <si>
    <t>3002036</t>
  </si>
  <si>
    <t>Ca. Cérvico Uterino</t>
  </si>
  <si>
    <t>TUMORES INFANTILES</t>
  </si>
  <si>
    <t>3002009</t>
  </si>
  <si>
    <t>3002010</t>
  </si>
  <si>
    <t>Linfoma B y LLA-B</t>
  </si>
  <si>
    <t>3002011</t>
  </si>
  <si>
    <t>Linfoma Linfoblástico</t>
  </si>
  <si>
    <t>3002012</t>
  </si>
  <si>
    <t>Leucemia linfoblástica aguda</t>
  </si>
  <si>
    <t>3002013</t>
  </si>
  <si>
    <t>Leucemia Mieloide Aguda</t>
  </si>
  <si>
    <t>3002014</t>
  </si>
  <si>
    <t>Neuroblastoma</t>
  </si>
  <si>
    <t>3002015</t>
  </si>
  <si>
    <t>Osteosarcoma</t>
  </si>
  <si>
    <t>3002016</t>
  </si>
  <si>
    <t>Sarcoma partes blandas</t>
  </si>
  <si>
    <t>3002017</t>
  </si>
  <si>
    <t>Ewing</t>
  </si>
  <si>
    <t>3002107</t>
  </si>
  <si>
    <t>Tumores germinales Extra Sistema Nerviso Central (Extra SNC)</t>
  </si>
  <si>
    <t>3002020</t>
  </si>
  <si>
    <t>Tumor de Wilms</t>
  </si>
  <si>
    <t>3002021</t>
  </si>
  <si>
    <t>Retinoblastoma</t>
  </si>
  <si>
    <t>3002022</t>
  </si>
  <si>
    <t>Histiocitosis</t>
  </si>
  <si>
    <t>3002024</t>
  </si>
  <si>
    <t>Recaída tumores sólidos</t>
  </si>
  <si>
    <t>3002025</t>
  </si>
  <si>
    <t>Hepatoblastomas</t>
  </si>
  <si>
    <t>3002026</t>
  </si>
  <si>
    <t>Leucemias mieloide crónica</t>
  </si>
  <si>
    <t>3002126</t>
  </si>
  <si>
    <t>Recaída de Leucemia Mieloide</t>
  </si>
  <si>
    <t>3002027</t>
  </si>
  <si>
    <t>Recaídas de leucemias Linfoblasticas</t>
  </si>
  <si>
    <t>TUMORES CEREBRALES INFANTILES</t>
  </si>
  <si>
    <t>3002028</t>
  </si>
  <si>
    <t>Méduloblastomas</t>
  </si>
  <si>
    <t>3002029</t>
  </si>
  <si>
    <t>Tumores de &lt; de 3 años</t>
  </si>
  <si>
    <t>3002030</t>
  </si>
  <si>
    <t>Glioma</t>
  </si>
  <si>
    <t>3002031</t>
  </si>
  <si>
    <t>Astrocitomas</t>
  </si>
  <si>
    <t>3002032</t>
  </si>
  <si>
    <t>Tumor Germinal SNC</t>
  </si>
  <si>
    <t>3002023</t>
  </si>
  <si>
    <t>Cuidados Paliativos y Alivio del Dolor en Cáncer Terminal (en adultos o niños)</t>
  </si>
  <si>
    <t>SUB-TOTAL FACTURACION P.N.D.A.</t>
  </si>
  <si>
    <t>TRATAMIENTO ABREVIADO DE LA TUBERCULOSIS</t>
  </si>
  <si>
    <t>3003001</t>
  </si>
  <si>
    <t>TBC, Esquema primario (mensual)</t>
  </si>
  <si>
    <t>3003002</t>
  </si>
  <si>
    <t>TBC, Esquema primario simplificado (mensual)</t>
  </si>
  <si>
    <t>3003003</t>
  </si>
  <si>
    <t>TBC, Esquema secundario (mensual)</t>
  </si>
  <si>
    <t>3003004</t>
  </si>
  <si>
    <t>TBC, Esquema normado de retratamiento (mensual)</t>
  </si>
  <si>
    <t>3003005</t>
  </si>
  <si>
    <t>TBC, Esquema especial de retratamiento (mensual)</t>
  </si>
  <si>
    <t>SUB-TOTAL FACTURACION TRATAMIENTO TBC</t>
  </si>
  <si>
    <t>TRASLADO, RESCATES Y RONDAS RURALES</t>
  </si>
  <si>
    <t>Nº TRASLADOS O RONDAS EN EL MES</t>
  </si>
  <si>
    <t>2401061</t>
  </si>
  <si>
    <t>Rescate simple y/o traslado en móvil 1</t>
  </si>
  <si>
    <t>2401062</t>
  </si>
  <si>
    <t>Rescate profesionalizado y/o traslado paciente complejo móvil 2</t>
  </si>
  <si>
    <t>2401063</t>
  </si>
  <si>
    <t>Rescate medicalizado y/o traslado paciente critico en móvil 3</t>
  </si>
  <si>
    <t>2401064</t>
  </si>
  <si>
    <t>Traslado en ambulancia</t>
  </si>
  <si>
    <t>2401065</t>
  </si>
  <si>
    <t>Ronda rural terrestre, c/ km recorrido</t>
  </si>
  <si>
    <t>2401066</t>
  </si>
  <si>
    <t>Ronda rural aérea, c/ hora de vuelo</t>
  </si>
  <si>
    <t>2401067</t>
  </si>
  <si>
    <t>Ronda rural marítima, c/ hora de navegación</t>
  </si>
  <si>
    <t>SUB-TOTAL FACTURACION TRASLADOS, RESCATES Y RONDAS</t>
  </si>
  <si>
    <t>CONSOLIDADO  FACTURACION:  LENTES, AUDIFONOS, MEDICINA TRANSFUSIONAL, PNDA, TBC, TRASLADOS, RESCATES Y RONDAS RURALES</t>
  </si>
  <si>
    <t>SUB-TOTAL FACTURACION SECCION M</t>
  </si>
  <si>
    <t>SECCION M: RESUMEN DE FACTURACION PPP SERVICIO DE SALUD</t>
  </si>
  <si>
    <t>TOTAL FACTURACION PPP</t>
  </si>
  <si>
    <t>TOTAL FACTURACION POR PRESTACIONES (SECCIONES A a M)</t>
  </si>
  <si>
    <t>SECCION N: RESUMEN DE FACTURACION COMPRA DE SERVICIOS</t>
  </si>
  <si>
    <t>(EXCLUSIVAMENTE A BENEFICIARIOS EN LA MODALIDAD INSTITUCIONAL)</t>
  </si>
  <si>
    <t>GRUPOS DE PRESTACIONES</t>
  </si>
  <si>
    <t>MONTO FACTURADO ($)</t>
  </si>
  <si>
    <t>Día cama hogar embarazada rural (no perteneciente al servicio de salud)</t>
  </si>
  <si>
    <t>Día cama centros de geriatria</t>
  </si>
  <si>
    <t>Colocación embarazada</t>
  </si>
  <si>
    <t>Colocación extra hospitalaria</t>
  </si>
  <si>
    <t>COMPRA DE SERVICIOS Subtotal</t>
  </si>
  <si>
    <t>EXAMENES DE DIAGNOSTICO</t>
  </si>
  <si>
    <t>PROC. MEDICINA NUCLEAR, GINEC. OBSTETRICIA Y ORTOPEDIA</t>
  </si>
  <si>
    <t>INTERVENCIONES QUIRURGICAS</t>
  </si>
  <si>
    <t>PROC. DIAGNOSTICOS Y TERAPEUTICOS</t>
  </si>
  <si>
    <t>HEMODIALISIS Y PERITONEODIALISIS</t>
  </si>
  <si>
    <t>TRASLADOS DE PACIENTES</t>
  </si>
  <si>
    <t>RESTO COMPRA DE SERVICIOS</t>
  </si>
  <si>
    <t>SUBTOTAL FACTURACION SECCION N "COMPRA DE SERVICIOS"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</si>
</sst>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&quot;$&quot;\ * #,##0.00_);_(&quot;$&quot;\ * \(#,##0.00\);_(&quot;$&quot;\ * &quot;-&quot;??_);_(@_)"/>
    <numFmt numFmtId="166" formatCode="#,##0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Font="0" applyBorder="0" applyAlignment="0" applyProtection="0"/>
  </cellStyleXfs>
  <cellXfs count="274">
    <xf numFmtId="0" fontId="0" fillId="0" borderId="0" xfId="0"/>
    <xf numFmtId="0" fontId="3" fillId="0" borderId="0" xfId="2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centerContinuous"/>
    </xf>
    <xf numFmtId="0" fontId="4" fillId="0" borderId="0" xfId="2" quotePrefix="1" applyNumberFormat="1" applyFont="1" applyFill="1" applyAlignment="1" applyProtection="1">
      <alignment horizontal="center"/>
    </xf>
    <xf numFmtId="0" fontId="6" fillId="0" borderId="0" xfId="2" applyNumberFormat="1" applyFont="1" applyFill="1" applyAlignment="1" applyProtection="1"/>
    <xf numFmtId="0" fontId="4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/>
    <xf numFmtId="0" fontId="5" fillId="0" borderId="0" xfId="2" applyNumberFormat="1" applyFont="1" applyFill="1" applyAlignment="1" applyProtection="1">
      <alignment horizontal="center"/>
    </xf>
    <xf numFmtId="0" fontId="6" fillId="0" borderId="0" xfId="2" applyNumberFormat="1" applyFont="1" applyFill="1" applyBorder="1" applyAlignment="1" applyProtection="1"/>
    <xf numFmtId="0" fontId="5" fillId="0" borderId="14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5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4" fillId="0" borderId="16" xfId="2" quotePrefix="1" applyNumberFormat="1" applyFont="1" applyFill="1" applyBorder="1" applyAlignment="1" applyProtection="1">
      <alignment horizontal="center"/>
    </xf>
    <xf numFmtId="0" fontId="4" fillId="0" borderId="17" xfId="2" quotePrefix="1" applyNumberFormat="1" applyFont="1" applyFill="1" applyBorder="1" applyAlignment="1" applyProtection="1">
      <alignment horizontal="left"/>
    </xf>
    <xf numFmtId="0" fontId="4" fillId="0" borderId="1" xfId="2" applyNumberFormat="1" applyFont="1" applyFill="1" applyBorder="1" applyAlignment="1" applyProtection="1"/>
    <xf numFmtId="164" fontId="4" fillId="0" borderId="9" xfId="1" applyNumberFormat="1" applyFont="1" applyFill="1" applyBorder="1" applyAlignment="1" applyProtection="1">
      <alignment horizontal="right"/>
    </xf>
    <xf numFmtId="164" fontId="4" fillId="0" borderId="10" xfId="1" applyNumberFormat="1" applyFont="1" applyFill="1" applyBorder="1" applyAlignment="1" applyProtection="1">
      <alignment horizontal="center"/>
    </xf>
    <xf numFmtId="0" fontId="4" fillId="0" borderId="18" xfId="2" quotePrefix="1" applyNumberFormat="1" applyFont="1" applyFill="1" applyBorder="1" applyAlignment="1" applyProtection="1">
      <alignment horizontal="center"/>
    </xf>
    <xf numFmtId="0" fontId="4" fillId="0" borderId="19" xfId="2" quotePrefix="1" applyNumberFormat="1" applyFont="1" applyFill="1" applyBorder="1" applyAlignment="1" applyProtection="1">
      <alignment horizontal="left"/>
    </xf>
    <xf numFmtId="0" fontId="4" fillId="0" borderId="20" xfId="2" applyNumberFormat="1" applyFont="1" applyFill="1" applyBorder="1" applyAlignment="1" applyProtection="1"/>
    <xf numFmtId="164" fontId="4" fillId="0" borderId="21" xfId="1" applyNumberFormat="1" applyFont="1" applyFill="1" applyBorder="1" applyAlignment="1" applyProtection="1">
      <alignment horizontal="right"/>
    </xf>
    <xf numFmtId="164" fontId="4" fillId="0" borderId="22" xfId="1" applyNumberFormat="1" applyFont="1" applyFill="1" applyBorder="1" applyAlignment="1" applyProtection="1">
      <alignment horizontal="center"/>
    </xf>
    <xf numFmtId="0" fontId="4" fillId="0" borderId="19" xfId="2" quotePrefix="1" applyNumberFormat="1" applyFont="1" applyFill="1" applyBorder="1" applyAlignment="1" applyProtection="1">
      <alignment vertical="center" wrapText="1"/>
    </xf>
    <xf numFmtId="0" fontId="4" fillId="0" borderId="19" xfId="2" applyNumberFormat="1" applyFont="1" applyFill="1" applyBorder="1" applyAlignment="1" applyProtection="1">
      <alignment horizontal="left"/>
    </xf>
    <xf numFmtId="0" fontId="4" fillId="0" borderId="23" xfId="2" quotePrefix="1" applyNumberFormat="1" applyFont="1" applyFill="1" applyBorder="1" applyAlignment="1" applyProtection="1">
      <alignment horizontal="center"/>
    </xf>
    <xf numFmtId="0" fontId="4" fillId="0" borderId="24" xfId="2" applyNumberFormat="1" applyFont="1" applyFill="1" applyBorder="1" applyAlignment="1" applyProtection="1">
      <alignment horizontal="left"/>
    </xf>
    <xf numFmtId="0" fontId="4" fillId="0" borderId="4" xfId="2" applyNumberFormat="1" applyFont="1" applyFill="1" applyBorder="1" applyAlignment="1" applyProtection="1"/>
    <xf numFmtId="164" fontId="4" fillId="0" borderId="25" xfId="1" applyNumberFormat="1" applyFont="1" applyFill="1" applyBorder="1" applyAlignment="1" applyProtection="1">
      <alignment horizontal="right"/>
    </xf>
    <xf numFmtId="164" fontId="4" fillId="0" borderId="26" xfId="1" applyNumberFormat="1" applyFont="1" applyFill="1" applyBorder="1" applyAlignment="1" applyProtection="1">
      <alignment horizontal="center"/>
    </xf>
    <xf numFmtId="0" fontId="4" fillId="0" borderId="19" xfId="2" applyNumberFormat="1" applyFont="1" applyFill="1" applyBorder="1" applyAlignment="1" applyProtection="1"/>
    <xf numFmtId="0" fontId="4" fillId="0" borderId="24" xfId="2" applyNumberFormat="1" applyFont="1" applyFill="1" applyBorder="1" applyAlignment="1" applyProtection="1"/>
    <xf numFmtId="0" fontId="4" fillId="0" borderId="27" xfId="2" applyNumberFormat="1" applyFont="1" applyFill="1" applyBorder="1" applyAlignment="1" applyProtection="1">
      <alignment horizontal="left"/>
    </xf>
    <xf numFmtId="164" fontId="4" fillId="0" borderId="2" xfId="1" applyNumberFormat="1" applyFont="1" applyFill="1" applyBorder="1" applyAlignment="1" applyProtection="1">
      <alignment horizontal="right"/>
    </xf>
    <xf numFmtId="164" fontId="4" fillId="0" borderId="3" xfId="1" applyNumberFormat="1" applyFont="1" applyFill="1" applyBorder="1" applyAlignment="1" applyProtection="1">
      <alignment horizontal="center"/>
    </xf>
    <xf numFmtId="0" fontId="4" fillId="0" borderId="28" xfId="2" applyNumberFormat="1" applyFont="1" applyFill="1" applyBorder="1" applyAlignment="1" applyProtection="1">
      <alignment horizontal="left"/>
    </xf>
    <xf numFmtId="164" fontId="4" fillId="0" borderId="5" xfId="1" applyNumberFormat="1" applyFont="1" applyFill="1" applyBorder="1" applyAlignment="1" applyProtection="1">
      <alignment horizontal="right"/>
    </xf>
    <xf numFmtId="164" fontId="4" fillId="0" borderId="6" xfId="1" applyNumberFormat="1" applyFont="1" applyFill="1" applyBorder="1" applyAlignment="1" applyProtection="1">
      <alignment horizontal="center"/>
    </xf>
    <xf numFmtId="0" fontId="4" fillId="0" borderId="27" xfId="2" quotePrefix="1" applyNumberFormat="1" applyFont="1" applyFill="1" applyBorder="1" applyAlignment="1" applyProtection="1">
      <alignment horizontal="left"/>
    </xf>
    <xf numFmtId="0" fontId="4" fillId="0" borderId="28" xfId="2" quotePrefix="1" applyNumberFormat="1" applyFont="1" applyFill="1" applyBorder="1" applyAlignment="1" applyProtection="1">
      <alignment horizontal="left"/>
    </xf>
    <xf numFmtId="0" fontId="5" fillId="0" borderId="29" xfId="2" applyNumberFormat="1" applyFont="1" applyFill="1" applyBorder="1" applyAlignment="1" applyProtection="1"/>
    <xf numFmtId="0" fontId="5" fillId="0" borderId="30" xfId="2" applyNumberFormat="1" applyFont="1" applyFill="1" applyBorder="1" applyAlignment="1" applyProtection="1"/>
    <xf numFmtId="0" fontId="5" fillId="0" borderId="31" xfId="3" applyNumberFormat="1" applyFont="1" applyFill="1" applyBorder="1" applyAlignment="1" applyProtection="1">
      <alignment horizontal="center"/>
    </xf>
    <xf numFmtId="164" fontId="5" fillId="0" borderId="32" xfId="1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/>
    <xf numFmtId="0" fontId="5" fillId="0" borderId="0" xfId="3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6" fillId="0" borderId="0" xfId="3" applyNumberFormat="1" applyFont="1" applyFill="1" applyAlignment="1" applyProtection="1"/>
    <xf numFmtId="0" fontId="5" fillId="2" borderId="15" xfId="2" applyNumberFormat="1" applyFont="1" applyFill="1" applyBorder="1" applyAlignment="1" applyProtection="1">
      <alignment horizontal="center" vertical="center" wrapText="1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5" fillId="0" borderId="12" xfId="2" applyNumberFormat="1" applyFont="1" applyFill="1" applyBorder="1" applyAlignment="1" applyProtection="1">
      <alignment horizontal="left"/>
    </xf>
    <xf numFmtId="0" fontId="5" fillId="0" borderId="33" xfId="2" applyNumberFormat="1" applyFont="1" applyFill="1" applyBorder="1" applyAlignment="1" applyProtection="1"/>
    <xf numFmtId="0" fontId="5" fillId="2" borderId="15" xfId="2" applyNumberFormat="1" applyFont="1" applyFill="1" applyBorder="1" applyAlignment="1" applyProtection="1"/>
    <xf numFmtId="164" fontId="5" fillId="0" borderId="13" xfId="2" applyNumberFormat="1" applyFont="1" applyFill="1" applyBorder="1" applyAlignment="1" applyProtection="1"/>
    <xf numFmtId="0" fontId="4" fillId="0" borderId="34" xfId="2" quotePrefix="1" applyNumberFormat="1" applyFont="1" applyFill="1" applyBorder="1" applyAlignment="1" applyProtection="1">
      <alignment horizontal="center"/>
    </xf>
    <xf numFmtId="0" fontId="4" fillId="0" borderId="8" xfId="2" applyNumberFormat="1" applyFont="1" applyFill="1" applyBorder="1" applyAlignment="1" applyProtection="1"/>
    <xf numFmtId="0" fontId="4" fillId="2" borderId="9" xfId="2" applyNumberFormat="1" applyFont="1" applyFill="1" applyBorder="1" applyAlignment="1" applyProtection="1"/>
    <xf numFmtId="164" fontId="4" fillId="0" borderId="35" xfId="1" applyNumberFormat="1" applyFont="1" applyFill="1" applyBorder="1" applyAlignment="1" applyProtection="1"/>
    <xf numFmtId="0" fontId="4" fillId="2" borderId="21" xfId="2" applyNumberFormat="1" applyFont="1" applyFill="1" applyBorder="1" applyAlignment="1" applyProtection="1"/>
    <xf numFmtId="164" fontId="4" fillId="0" borderId="36" xfId="1" applyNumberFormat="1" applyFont="1" applyFill="1" applyBorder="1" applyAlignment="1" applyProtection="1"/>
    <xf numFmtId="0" fontId="4" fillId="0" borderId="37" xfId="2" quotePrefix="1" applyNumberFormat="1" applyFont="1" applyFill="1" applyBorder="1" applyAlignment="1" applyProtection="1">
      <alignment horizontal="center"/>
    </xf>
    <xf numFmtId="0" fontId="4" fillId="0" borderId="38" xfId="2" applyNumberFormat="1" applyFont="1" applyFill="1" applyBorder="1" applyAlignment="1" applyProtection="1"/>
    <xf numFmtId="0" fontId="4" fillId="2" borderId="25" xfId="2" applyNumberFormat="1" applyFont="1" applyFill="1" applyBorder="1" applyAlignment="1" applyProtection="1"/>
    <xf numFmtId="164" fontId="4" fillId="0" borderId="39" xfId="1" applyNumberFormat="1" applyFont="1" applyFill="1" applyBorder="1" applyAlignment="1" applyProtection="1"/>
    <xf numFmtId="0" fontId="4" fillId="0" borderId="40" xfId="2" applyNumberFormat="1" applyFont="1" applyFill="1" applyBorder="1" applyAlignment="1" applyProtection="1">
      <alignment horizontal="left"/>
    </xf>
    <xf numFmtId="0" fontId="4" fillId="0" borderId="41" xfId="2" applyNumberFormat="1" applyFont="1" applyFill="1" applyBorder="1" applyAlignment="1" applyProtection="1"/>
    <xf numFmtId="0" fontId="4" fillId="2" borderId="42" xfId="2" applyNumberFormat="1" applyFont="1" applyFill="1" applyBorder="1" applyAlignment="1" applyProtection="1"/>
    <xf numFmtId="164" fontId="4" fillId="0" borderId="43" xfId="1" applyNumberFormat="1" applyFont="1" applyFill="1" applyBorder="1" applyAlignment="1" applyProtection="1"/>
    <xf numFmtId="0" fontId="4" fillId="2" borderId="18" xfId="2" applyNumberFormat="1" applyFont="1" applyFill="1" applyBorder="1" applyAlignment="1" applyProtection="1">
      <alignment horizontal="center"/>
    </xf>
    <xf numFmtId="0" fontId="4" fillId="2" borderId="2" xfId="2" applyNumberFormat="1" applyFont="1" applyFill="1" applyBorder="1" applyAlignment="1" applyProtection="1"/>
    <xf numFmtId="164" fontId="4" fillId="0" borderId="44" xfId="1" applyNumberFormat="1" applyFont="1" applyFill="1" applyBorder="1" applyAlignment="1" applyProtection="1"/>
    <xf numFmtId="0" fontId="4" fillId="2" borderId="23" xfId="2" applyNumberFormat="1" applyFont="1" applyFill="1" applyBorder="1" applyAlignment="1" applyProtection="1">
      <alignment horizontal="center"/>
    </xf>
    <xf numFmtId="0" fontId="4" fillId="2" borderId="5" xfId="2" applyNumberFormat="1" applyFont="1" applyFill="1" applyBorder="1" applyAlignment="1" applyProtection="1"/>
    <xf numFmtId="164" fontId="4" fillId="0" borderId="45" xfId="1" applyNumberFormat="1" applyFont="1" applyFill="1" applyBorder="1" applyAlignment="1" applyProtection="1"/>
    <xf numFmtId="0" fontId="4" fillId="0" borderId="17" xfId="2" applyNumberFormat="1" applyFont="1" applyFill="1" applyBorder="1" applyAlignment="1" applyProtection="1">
      <alignment horizontal="left"/>
    </xf>
    <xf numFmtId="0" fontId="5" fillId="0" borderId="16" xfId="2" quotePrefix="1" applyNumberFormat="1" applyFont="1" applyFill="1" applyBorder="1" applyAlignment="1" applyProtection="1">
      <alignment horizontal="center"/>
    </xf>
    <xf numFmtId="0" fontId="5" fillId="0" borderId="27" xfId="2" applyNumberFormat="1" applyFont="1" applyFill="1" applyBorder="1" applyAlignment="1" applyProtection="1">
      <alignment horizontal="left"/>
    </xf>
    <xf numFmtId="0" fontId="5" fillId="0" borderId="1" xfId="2" applyNumberFormat="1" applyFont="1" applyFill="1" applyBorder="1" applyAlignment="1" applyProtection="1"/>
    <xf numFmtId="0" fontId="5" fillId="2" borderId="2" xfId="2" applyNumberFormat="1" applyFont="1" applyFill="1" applyBorder="1" applyAlignment="1" applyProtection="1"/>
    <xf numFmtId="164" fontId="5" fillId="0" borderId="44" xfId="1" applyNumberFormat="1" applyFont="1" applyFill="1" applyBorder="1" applyAlignment="1" applyProtection="1"/>
    <xf numFmtId="0" fontId="4" fillId="2" borderId="18" xfId="2" quotePrefix="1" applyNumberFormat="1" applyFont="1" applyFill="1" applyBorder="1" applyAlignment="1" applyProtection="1">
      <alignment horizontal="center"/>
    </xf>
    <xf numFmtId="0" fontId="4" fillId="0" borderId="46" xfId="2" quotePrefix="1" applyNumberFormat="1" applyFont="1" applyFill="1" applyBorder="1" applyAlignment="1" applyProtection="1">
      <alignment horizontal="center"/>
    </xf>
    <xf numFmtId="0" fontId="4" fillId="0" borderId="47" xfId="2" applyNumberFormat="1" applyFont="1" applyFill="1" applyBorder="1" applyAlignment="1" applyProtection="1">
      <alignment horizontal="left"/>
    </xf>
    <xf numFmtId="0" fontId="4" fillId="0" borderId="29" xfId="2" applyNumberFormat="1" applyFont="1" applyFill="1" applyBorder="1" applyAlignment="1" applyProtection="1"/>
    <xf numFmtId="0" fontId="4" fillId="2" borderId="31" xfId="2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0" fontId="5" fillId="0" borderId="49" xfId="2" quotePrefix="1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50" xfId="2" applyNumberFormat="1" applyFont="1" applyFill="1" applyBorder="1" applyAlignment="1" applyProtection="1"/>
    <xf numFmtId="0" fontId="5" fillId="2" borderId="51" xfId="2" applyNumberFormat="1" applyFont="1" applyFill="1" applyBorder="1" applyAlignment="1" applyProtection="1"/>
    <xf numFmtId="164" fontId="5" fillId="0" borderId="7" xfId="1" applyNumberFormat="1" applyFont="1" applyFill="1" applyBorder="1" applyAlignment="1" applyProtection="1"/>
    <xf numFmtId="0" fontId="5" fillId="0" borderId="14" xfId="2" applyNumberFormat="1" applyFont="1" applyFill="1" applyBorder="1" applyAlignment="1" applyProtection="1"/>
    <xf numFmtId="0" fontId="5" fillId="0" borderId="12" xfId="2" quotePrefix="1" applyNumberFormat="1" applyFont="1" applyFill="1" applyBorder="1" applyAlignment="1" applyProtection="1">
      <alignment horizontal="left"/>
    </xf>
    <xf numFmtId="164" fontId="5" fillId="0" borderId="13" xfId="1" applyNumberFormat="1" applyFont="1" applyFill="1" applyBorder="1" applyAlignment="1" applyProtection="1"/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33" xfId="2" applyNumberFormat="1" applyFont="1" applyFill="1" applyBorder="1" applyAlignment="1" applyProtection="1">
      <alignment horizontal="center" vertical="center" wrapText="1"/>
    </xf>
    <xf numFmtId="0" fontId="5" fillId="0" borderId="52" xfId="2" applyNumberFormat="1" applyFont="1" applyFill="1" applyBorder="1" applyAlignment="1" applyProtection="1">
      <alignment horizontal="center" vertical="center" wrapText="1"/>
    </xf>
    <xf numFmtId="0" fontId="5" fillId="0" borderId="34" xfId="2" quotePrefix="1" applyNumberFormat="1" applyFont="1" applyFill="1" applyBorder="1" applyAlignment="1" applyProtection="1">
      <alignment horizontal="center"/>
    </xf>
    <xf numFmtId="164" fontId="4" fillId="0" borderId="10" xfId="1" applyNumberFormat="1" applyFont="1" applyFill="1" applyBorder="1" applyAlignment="1" applyProtection="1"/>
    <xf numFmtId="0" fontId="4" fillId="0" borderId="18" xfId="2" applyNumberFormat="1" applyFont="1" applyFill="1" applyBorder="1" applyAlignment="1" applyProtection="1">
      <alignment horizontal="center"/>
    </xf>
    <xf numFmtId="164" fontId="4" fillId="0" borderId="22" xfId="1" applyNumberFormat="1" applyFont="1" applyFill="1" applyBorder="1" applyAlignment="1" applyProtection="1"/>
    <xf numFmtId="164" fontId="4" fillId="0" borderId="26" xfId="1" applyNumberFormat="1" applyFont="1" applyFill="1" applyBorder="1" applyAlignment="1" applyProtection="1"/>
    <xf numFmtId="164" fontId="5" fillId="0" borderId="52" xfId="1" applyNumberFormat="1" applyFont="1" applyFill="1" applyBorder="1" applyAlignment="1" applyProtection="1"/>
    <xf numFmtId="0" fontId="5" fillId="0" borderId="54" xfId="2" applyNumberFormat="1" applyFont="1" applyFill="1" applyBorder="1" applyAlignment="1" applyProtection="1">
      <alignment horizontal="center" vertical="center" wrapText="1"/>
    </xf>
    <xf numFmtId="166" fontId="4" fillId="0" borderId="1" xfId="2" applyNumberFormat="1" applyFont="1" applyFill="1" applyBorder="1" applyAlignment="1" applyProtection="1">
      <alignment horizontal="right"/>
    </xf>
    <xf numFmtId="166" fontId="4" fillId="0" borderId="2" xfId="2" applyNumberFormat="1" applyFont="1" applyFill="1" applyBorder="1" applyAlignment="1" applyProtection="1">
      <alignment horizontal="right"/>
    </xf>
    <xf numFmtId="166" fontId="4" fillId="0" borderId="44" xfId="2" applyNumberFormat="1" applyFont="1" applyFill="1" applyBorder="1" applyAlignment="1" applyProtection="1">
      <alignment horizontal="right"/>
    </xf>
    <xf numFmtId="164" fontId="4" fillId="0" borderId="44" xfId="1" applyNumberFormat="1" applyFont="1" applyFill="1" applyBorder="1" applyAlignment="1" applyProtection="1">
      <alignment horizontal="right"/>
    </xf>
    <xf numFmtId="166" fontId="4" fillId="0" borderId="20" xfId="2" applyNumberFormat="1" applyFont="1" applyFill="1" applyBorder="1" applyAlignment="1" applyProtection="1">
      <alignment horizontal="right"/>
    </xf>
    <xf numFmtId="166" fontId="4" fillId="0" borderId="21" xfId="2" applyNumberFormat="1" applyFont="1" applyFill="1" applyBorder="1" applyAlignment="1" applyProtection="1">
      <alignment horizontal="right"/>
    </xf>
    <xf numFmtId="166" fontId="4" fillId="0" borderId="36" xfId="2" applyNumberFormat="1" applyFont="1" applyFill="1" applyBorder="1" applyAlignment="1" applyProtection="1">
      <alignment horizontal="right"/>
    </xf>
    <xf numFmtId="164" fontId="4" fillId="0" borderId="36" xfId="1" applyNumberFormat="1" applyFont="1" applyFill="1" applyBorder="1" applyAlignment="1" applyProtection="1">
      <alignment horizontal="right"/>
    </xf>
    <xf numFmtId="166" fontId="4" fillId="0" borderId="38" xfId="2" applyNumberFormat="1" applyFont="1" applyFill="1" applyBorder="1" applyAlignment="1" applyProtection="1">
      <alignment horizontal="right"/>
    </xf>
    <xf numFmtId="166" fontId="4" fillId="0" borderId="25" xfId="2" applyNumberFormat="1" applyFont="1" applyFill="1" applyBorder="1" applyAlignment="1" applyProtection="1">
      <alignment horizontal="right"/>
    </xf>
    <xf numFmtId="166" fontId="4" fillId="0" borderId="39" xfId="2" applyNumberFormat="1" applyFont="1" applyFill="1" applyBorder="1" applyAlignment="1" applyProtection="1">
      <alignment horizontal="right"/>
    </xf>
    <xf numFmtId="164" fontId="4" fillId="0" borderId="39" xfId="1" applyNumberFormat="1" applyFont="1" applyFill="1" applyBorder="1" applyAlignment="1" applyProtection="1">
      <alignment horizontal="right"/>
    </xf>
    <xf numFmtId="166" fontId="4" fillId="0" borderId="4" xfId="2" applyNumberFormat="1" applyFont="1" applyFill="1" applyBorder="1" applyAlignment="1" applyProtection="1">
      <alignment horizontal="right"/>
    </xf>
    <xf numFmtId="166" fontId="4" fillId="0" borderId="5" xfId="2" applyNumberFormat="1" applyFont="1" applyFill="1" applyBorder="1" applyAlignment="1" applyProtection="1">
      <alignment horizontal="right"/>
    </xf>
    <xf numFmtId="166" fontId="4" fillId="0" borderId="45" xfId="2" applyNumberFormat="1" applyFont="1" applyFill="1" applyBorder="1" applyAlignment="1" applyProtection="1">
      <alignment horizontal="right"/>
    </xf>
    <xf numFmtId="164" fontId="4" fillId="0" borderId="45" xfId="1" applyNumberFormat="1" applyFont="1" applyFill="1" applyBorder="1" applyAlignment="1" applyProtection="1">
      <alignment horizontal="right"/>
    </xf>
    <xf numFmtId="166" fontId="4" fillId="0" borderId="8" xfId="2" applyNumberFormat="1" applyFont="1" applyFill="1" applyBorder="1" applyAlignment="1" applyProtection="1">
      <alignment horizontal="right"/>
    </xf>
    <xf numFmtId="166" fontId="4" fillId="0" borderId="9" xfId="2" applyNumberFormat="1" applyFont="1" applyFill="1" applyBorder="1" applyAlignment="1" applyProtection="1">
      <alignment horizontal="right"/>
    </xf>
    <xf numFmtId="166" fontId="4" fillId="0" borderId="35" xfId="2" applyNumberFormat="1" applyFont="1" applyFill="1" applyBorder="1" applyAlignment="1" applyProtection="1">
      <alignment horizontal="right"/>
    </xf>
    <xf numFmtId="164" fontId="4" fillId="0" borderId="35" xfId="1" applyNumberFormat="1" applyFont="1" applyFill="1" applyBorder="1" applyAlignment="1" applyProtection="1">
      <alignment horizontal="right"/>
    </xf>
    <xf numFmtId="0" fontId="4" fillId="0" borderId="23" xfId="2" applyNumberFormat="1" applyFont="1" applyFill="1" applyBorder="1" applyAlignment="1" applyProtection="1">
      <alignment horizontal="center"/>
    </xf>
    <xf numFmtId="0" fontId="5" fillId="0" borderId="46" xfId="2" applyNumberFormat="1" applyFont="1" applyFill="1" applyBorder="1" applyAlignment="1" applyProtection="1"/>
    <xf numFmtId="0" fontId="5" fillId="0" borderId="47" xfId="2" quotePrefix="1" applyNumberFormat="1" applyFont="1" applyFill="1" applyBorder="1" applyAlignment="1" applyProtection="1">
      <alignment horizontal="left"/>
    </xf>
    <xf numFmtId="166" fontId="5" fillId="0" borderId="29" xfId="2" applyNumberFormat="1" applyFont="1" applyFill="1" applyBorder="1" applyAlignment="1" applyProtection="1">
      <alignment horizontal="right"/>
    </xf>
    <xf numFmtId="166" fontId="5" fillId="0" borderId="31" xfId="2" applyNumberFormat="1" applyFont="1" applyFill="1" applyBorder="1" applyAlignment="1" applyProtection="1"/>
    <xf numFmtId="166" fontId="5" fillId="0" borderId="48" xfId="2" applyNumberFormat="1" applyFont="1" applyFill="1" applyBorder="1" applyAlignment="1" applyProtection="1"/>
    <xf numFmtId="164" fontId="5" fillId="0" borderId="48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/>
    <xf numFmtId="164" fontId="4" fillId="0" borderId="3" xfId="1" applyNumberFormat="1" applyFont="1" applyFill="1" applyBorder="1" applyAlignment="1" applyProtection="1"/>
    <xf numFmtId="0" fontId="4" fillId="0" borderId="24" xfId="2" quotePrefix="1" applyNumberFormat="1" applyFont="1" applyFill="1" applyBorder="1" applyAlignment="1" applyProtection="1">
      <alignment horizontal="left"/>
    </xf>
    <xf numFmtId="164" fontId="4" fillId="0" borderId="25" xfId="1" applyNumberFormat="1" applyFont="1" applyFill="1" applyBorder="1" applyAlignment="1" applyProtection="1"/>
    <xf numFmtId="0" fontId="5" fillId="0" borderId="54" xfId="2" quotePrefix="1" applyNumberFormat="1" applyFont="1" applyFill="1" applyBorder="1" applyAlignment="1" applyProtection="1">
      <alignment horizontal="left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5" fillId="0" borderId="14" xfId="2" applyNumberFormat="1" applyFont="1" applyFill="1" applyBorder="1" applyAlignment="1" applyProtection="1">
      <alignment horizontal="center"/>
    </xf>
    <xf numFmtId="0" fontId="5" fillId="0" borderId="14" xfId="2" applyNumberFormat="1" applyFont="1" applyFill="1" applyBorder="1" applyAlignment="1" applyProtection="1">
      <alignment horizontal="left"/>
    </xf>
    <xf numFmtId="164" fontId="5" fillId="0" borderId="14" xfId="1" applyNumberFormat="1" applyFont="1" applyFill="1" applyBorder="1" applyAlignment="1" applyProtection="1">
      <alignment horizontal="center"/>
    </xf>
    <xf numFmtId="164" fontId="4" fillId="0" borderId="3" xfId="1" applyNumberFormat="1" applyFont="1" applyFill="1" applyBorder="1" applyAlignment="1" applyProtection="1">
      <alignment horizontal="right"/>
    </xf>
    <xf numFmtId="164" fontId="4" fillId="0" borderId="22" xfId="1" applyNumberFormat="1" applyFont="1" applyFill="1" applyBorder="1" applyAlignment="1" applyProtection="1">
      <alignment horizontal="right"/>
    </xf>
    <xf numFmtId="0" fontId="5" fillId="0" borderId="28" xfId="2" quotePrefix="1" applyNumberFormat="1" applyFont="1" applyFill="1" applyBorder="1" applyAlignment="1" applyProtection="1">
      <alignment horizontal="left"/>
    </xf>
    <xf numFmtId="0" fontId="5" fillId="0" borderId="4" xfId="2" applyNumberFormat="1" applyFont="1" applyFill="1" applyBorder="1" applyAlignment="1" applyProtection="1"/>
    <xf numFmtId="164" fontId="5" fillId="2" borderId="5" xfId="1" applyNumberFormat="1" applyFont="1" applyFill="1" applyBorder="1" applyAlignment="1" applyProtection="1">
      <alignment horizontal="right"/>
    </xf>
    <xf numFmtId="164" fontId="5" fillId="0" borderId="6" xfId="1" applyNumberFormat="1" applyFont="1" applyFill="1" applyBorder="1" applyAlignment="1" applyProtection="1">
      <alignment horizontal="right"/>
    </xf>
    <xf numFmtId="164" fontId="4" fillId="2" borderId="31" xfId="1" applyNumberFormat="1" applyFont="1" applyFill="1" applyBorder="1" applyAlignment="1" applyProtection="1">
      <alignment horizontal="right"/>
    </xf>
    <xf numFmtId="164" fontId="5" fillId="0" borderId="32" xfId="1" applyNumberFormat="1" applyFont="1" applyFill="1" applyBorder="1" applyAlignment="1" applyProtection="1">
      <alignment horizontal="right"/>
    </xf>
    <xf numFmtId="164" fontId="4" fillId="0" borderId="6" xfId="1" applyNumberFormat="1" applyFont="1" applyFill="1" applyBorder="1" applyAlignment="1" applyProtection="1">
      <alignment horizontal="right"/>
    </xf>
    <xf numFmtId="0" fontId="4" fillId="0" borderId="1" xfId="2" applyNumberFormat="1" applyFont="1" applyFill="1" applyBorder="1" applyAlignment="1" applyProtection="1">
      <alignment horizontal="right"/>
    </xf>
    <xf numFmtId="0" fontId="4" fillId="0" borderId="20" xfId="2" applyNumberFormat="1" applyFont="1" applyFill="1" applyBorder="1" applyAlignment="1" applyProtection="1">
      <alignment horizontal="right"/>
    </xf>
    <xf numFmtId="0" fontId="4" fillId="0" borderId="19" xfId="2" quotePrefix="1" applyNumberFormat="1" applyFont="1" applyFill="1" applyBorder="1" applyAlignment="1" applyProtection="1">
      <alignment horizontal="left" wrapText="1"/>
    </xf>
    <xf numFmtId="0" fontId="4" fillId="0" borderId="28" xfId="2" applyNumberFormat="1" applyFont="1" applyFill="1" applyBorder="1" applyAlignment="1" applyProtection="1"/>
    <xf numFmtId="0" fontId="4" fillId="0" borderId="4" xfId="2" applyNumberFormat="1" applyFont="1" applyFill="1" applyBorder="1" applyAlignment="1" applyProtection="1">
      <alignment horizontal="right"/>
    </xf>
    <xf numFmtId="0" fontId="5" fillId="0" borderId="55" xfId="2" applyNumberFormat="1" applyFont="1" applyFill="1" applyBorder="1" applyAlignment="1" applyProtection="1"/>
    <xf numFmtId="0" fontId="5" fillId="0" borderId="55" xfId="2" quotePrefix="1" applyNumberFormat="1" applyFont="1" applyFill="1" applyBorder="1" applyAlignment="1" applyProtection="1">
      <alignment horizontal="left"/>
    </xf>
    <xf numFmtId="0" fontId="5" fillId="0" borderId="55" xfId="2" applyNumberFormat="1" applyFont="1" applyFill="1" applyBorder="1" applyAlignment="1" applyProtection="1">
      <alignment horizontal="right"/>
    </xf>
    <xf numFmtId="164" fontId="4" fillId="2" borderId="55" xfId="1" applyNumberFormat="1" applyFont="1" applyFill="1" applyBorder="1" applyAlignment="1" applyProtection="1">
      <alignment horizontal="right"/>
    </xf>
    <xf numFmtId="164" fontId="5" fillId="0" borderId="46" xfId="1" applyNumberFormat="1" applyFont="1" applyFill="1" applyBorder="1" applyAlignment="1" applyProtection="1">
      <alignment horizontal="right"/>
    </xf>
    <xf numFmtId="0" fontId="4" fillId="0" borderId="16" xfId="2" applyNumberFormat="1" applyFont="1" applyFill="1" applyBorder="1" applyAlignment="1" applyProtection="1">
      <alignment horizontal="center"/>
    </xf>
    <xf numFmtId="0" fontId="4" fillId="0" borderId="27" xfId="2" applyNumberFormat="1" applyFont="1" applyFill="1" applyBorder="1" applyAlignment="1" applyProtection="1">
      <alignment wrapText="1"/>
    </xf>
    <xf numFmtId="0" fontId="4" fillId="0" borderId="19" xfId="2" applyNumberFormat="1" applyFont="1" applyFill="1" applyBorder="1" applyAlignment="1" applyProtection="1">
      <alignment horizontal="left" wrapText="1"/>
    </xf>
    <xf numFmtId="0" fontId="4" fillId="0" borderId="19" xfId="2" applyNumberFormat="1" applyFont="1" applyFill="1" applyBorder="1" applyAlignment="1" applyProtection="1">
      <alignment wrapText="1"/>
    </xf>
    <xf numFmtId="0" fontId="4" fillId="0" borderId="46" xfId="2" applyNumberFormat="1" applyFont="1" applyFill="1" applyBorder="1" applyAlignment="1" applyProtection="1">
      <alignment horizontal="center"/>
    </xf>
    <xf numFmtId="0" fontId="4" fillId="0" borderId="47" xfId="2" applyNumberFormat="1" applyFont="1" applyFill="1" applyBorder="1" applyAlignment="1" applyProtection="1">
      <alignment horizontal="left" wrapText="1"/>
    </xf>
    <xf numFmtId="164" fontId="4" fillId="0" borderId="31" xfId="1" applyNumberFormat="1" applyFont="1" applyFill="1" applyBorder="1" applyAlignment="1" applyProtection="1">
      <alignment horizontal="right"/>
    </xf>
    <xf numFmtId="164" fontId="4" fillId="0" borderId="32" xfId="1" applyNumberFormat="1" applyFont="1" applyFill="1" applyBorder="1" applyAlignment="1" applyProtection="1">
      <alignment horizontal="right"/>
    </xf>
    <xf numFmtId="164" fontId="4" fillId="2" borderId="21" xfId="1" applyNumberFormat="1" applyFont="1" applyFill="1" applyBorder="1" applyAlignment="1" applyProtection="1">
      <alignment horizontal="right"/>
    </xf>
    <xf numFmtId="0" fontId="4" fillId="0" borderId="44" xfId="2" applyNumberFormat="1" applyFont="1" applyFill="1" applyBorder="1" applyAlignment="1" applyProtection="1"/>
    <xf numFmtId="164" fontId="4" fillId="3" borderId="44" xfId="1" applyNumberFormat="1" applyFont="1" applyFill="1" applyBorder="1" applyAlignment="1" applyProtection="1">
      <protection locked="0"/>
    </xf>
    <xf numFmtId="0" fontId="4" fillId="0" borderId="0" xfId="2" applyNumberFormat="1" applyFont="1" applyFill="1" applyAlignment="1" applyProtection="1">
      <alignment horizontal="right"/>
    </xf>
    <xf numFmtId="0" fontId="4" fillId="0" borderId="23" xfId="2" quotePrefix="1" applyNumberFormat="1" applyFont="1" applyFill="1" applyBorder="1" applyAlignment="1" applyProtection="1"/>
    <xf numFmtId="0" fontId="4" fillId="0" borderId="45" xfId="2" applyNumberFormat="1" applyFont="1" applyFill="1" applyBorder="1" applyAlignment="1" applyProtection="1"/>
    <xf numFmtId="164" fontId="4" fillId="3" borderId="45" xfId="1" applyNumberFormat="1" applyFont="1" applyFill="1" applyBorder="1" applyAlignment="1" applyProtection="1">
      <protection locked="0"/>
    </xf>
    <xf numFmtId="0" fontId="5" fillId="0" borderId="46" xfId="2" quotePrefix="1" applyNumberFormat="1" applyFont="1" applyFill="1" applyBorder="1" applyAlignment="1" applyProtection="1">
      <alignment horizontal="center"/>
    </xf>
    <xf numFmtId="0" fontId="5" fillId="0" borderId="47" xfId="2" applyNumberFormat="1" applyFont="1" applyFill="1" applyBorder="1" applyAlignment="1" applyProtection="1">
      <alignment horizontal="left"/>
    </xf>
    <xf numFmtId="164" fontId="5" fillId="0" borderId="14" xfId="1" applyNumberFormat="1" applyFont="1" applyFill="1" applyBorder="1" applyAlignment="1" applyProtection="1"/>
    <xf numFmtId="0" fontId="6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left"/>
    </xf>
    <xf numFmtId="0" fontId="4" fillId="0" borderId="0" xfId="2" quotePrefix="1" applyNumberFormat="1" applyFont="1" applyFill="1" applyBorder="1" applyAlignment="1" applyProtection="1">
      <alignment horizontal="left"/>
    </xf>
    <xf numFmtId="0" fontId="5" fillId="0" borderId="15" xfId="2" applyNumberFormat="1" applyFont="1" applyFill="1" applyBorder="1" applyAlignment="1" applyProtection="1">
      <alignment horizontal="left"/>
    </xf>
    <xf numFmtId="0" fontId="4" fillId="0" borderId="15" xfId="2" applyNumberFormat="1" applyFont="1" applyFill="1" applyBorder="1" applyAlignment="1" applyProtection="1">
      <alignment horizontal="right"/>
    </xf>
    <xf numFmtId="164" fontId="4" fillId="2" borderId="15" xfId="1" applyNumberFormat="1" applyFont="1" applyFill="1" applyBorder="1" applyAlignment="1" applyProtection="1">
      <alignment horizontal="right"/>
    </xf>
    <xf numFmtId="164" fontId="4" fillId="0" borderId="52" xfId="1" applyNumberFormat="1" applyFont="1" applyFill="1" applyBorder="1" applyAlignment="1" applyProtection="1">
      <alignment horizontal="right"/>
    </xf>
    <xf numFmtId="0" fontId="4" fillId="0" borderId="1" xfId="2" quotePrefix="1" applyNumberFormat="1" applyFont="1" applyFill="1" applyBorder="1" applyAlignment="1" applyProtection="1">
      <alignment horizontal="center"/>
    </xf>
    <xf numFmtId="0" fontId="4" fillId="0" borderId="56" xfId="2" applyNumberFormat="1" applyFont="1" applyFill="1" applyBorder="1" applyAlignment="1" applyProtection="1"/>
    <xf numFmtId="0" fontId="4" fillId="0" borderId="20" xfId="2" quotePrefix="1" applyNumberFormat="1" applyFont="1" applyFill="1" applyBorder="1" applyAlignment="1" applyProtection="1">
      <alignment horizontal="center"/>
    </xf>
    <xf numFmtId="0" fontId="4" fillId="0" borderId="57" xfId="2" applyNumberFormat="1" applyFont="1" applyFill="1" applyBorder="1" applyAlignment="1" applyProtection="1"/>
    <xf numFmtId="0" fontId="4" fillId="0" borderId="58" xfId="2" quotePrefix="1" applyNumberFormat="1" applyFont="1" applyFill="1" applyBorder="1" applyAlignment="1" applyProtection="1">
      <alignment horizontal="center"/>
    </xf>
    <xf numFmtId="164" fontId="4" fillId="0" borderId="26" xfId="1" applyNumberFormat="1" applyFont="1" applyFill="1" applyBorder="1" applyAlignment="1" applyProtection="1">
      <alignment horizontal="right"/>
    </xf>
    <xf numFmtId="0" fontId="4" fillId="0" borderId="59" xfId="2" quotePrefix="1" applyNumberFormat="1" applyFont="1" applyFill="1" applyBorder="1" applyAlignment="1" applyProtection="1">
      <alignment horizontal="center"/>
    </xf>
    <xf numFmtId="0" fontId="4" fillId="0" borderId="60" xfId="2" applyNumberFormat="1" applyFont="1" applyFill="1" applyBorder="1" applyAlignment="1" applyProtection="1"/>
    <xf numFmtId="0" fontId="4" fillId="0" borderId="27" xfId="2" applyNumberFormat="1" applyFont="1" applyFill="1" applyBorder="1" applyAlignment="1" applyProtection="1"/>
    <xf numFmtId="164" fontId="4" fillId="0" borderId="10" xfId="1" applyNumberFormat="1" applyFont="1" applyFill="1" applyBorder="1" applyAlignment="1" applyProtection="1">
      <alignment horizontal="right"/>
    </xf>
    <xf numFmtId="0" fontId="4" fillId="0" borderId="0" xfId="4" applyNumberFormat="1" applyFont="1" applyFill="1" applyAlignment="1" applyProtection="1"/>
    <xf numFmtId="0" fontId="4" fillId="0" borderId="14" xfId="2" quotePrefix="1" applyNumberFormat="1" applyFont="1" applyFill="1" applyBorder="1" applyAlignment="1" applyProtection="1">
      <alignment horizontal="center"/>
    </xf>
    <xf numFmtId="0" fontId="4" fillId="0" borderId="12" xfId="2" applyNumberFormat="1" applyFont="1" applyFill="1" applyBorder="1" applyAlignment="1" applyProtection="1"/>
    <xf numFmtId="0" fontId="4" fillId="0" borderId="33" xfId="2" applyNumberFormat="1" applyFont="1" applyFill="1" applyBorder="1" applyAlignment="1" applyProtection="1"/>
    <xf numFmtId="164" fontId="4" fillId="0" borderId="15" xfId="1" applyNumberFormat="1" applyFont="1" applyFill="1" applyBorder="1" applyAlignment="1" applyProtection="1">
      <alignment horizontal="right"/>
    </xf>
    <xf numFmtId="0" fontId="5" fillId="0" borderId="47" xfId="2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0" xfId="4" applyNumberFormat="1" applyFont="1" applyFill="1" applyAlignment="1" applyProtection="1"/>
    <xf numFmtId="0" fontId="4" fillId="0" borderId="27" xfId="5" applyNumberFormat="1" applyFont="1" applyFill="1" applyBorder="1" applyAlignment="1" applyProtection="1"/>
    <xf numFmtId="0" fontId="4" fillId="0" borderId="19" xfId="5" applyNumberFormat="1" applyFont="1" applyFill="1" applyBorder="1" applyAlignment="1" applyProtection="1"/>
    <xf numFmtId="0" fontId="4" fillId="0" borderId="28" xfId="5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61" xfId="2" applyNumberFormat="1" applyFont="1" applyFill="1" applyBorder="1" applyAlignment="1" applyProtection="1">
      <alignment horizontal="center"/>
    </xf>
    <xf numFmtId="0" fontId="5" fillId="0" borderId="11" xfId="2" applyNumberFormat="1" applyFont="1" applyFill="1" applyBorder="1" applyAlignment="1" applyProtection="1">
      <alignment horizontal="centerContinuous"/>
    </xf>
    <xf numFmtId="0" fontId="5" fillId="0" borderId="33" xfId="2" quotePrefix="1" applyNumberFormat="1" applyFont="1" applyFill="1" applyBorder="1" applyAlignment="1" applyProtection="1">
      <alignment horizontal="center" vertical="center" wrapText="1"/>
    </xf>
    <xf numFmtId="0" fontId="5" fillId="0" borderId="12" xfId="2" quotePrefix="1" applyNumberFormat="1" applyFont="1" applyFill="1" applyBorder="1" applyAlignment="1" applyProtection="1">
      <alignment horizontal="left"/>
    </xf>
    <xf numFmtId="164" fontId="5" fillId="0" borderId="52" xfId="1" applyNumberFormat="1" applyFont="1" applyFill="1" applyBorder="1" applyAlignment="1" applyProtection="1">
      <alignment horizontal="right"/>
    </xf>
    <xf numFmtId="0" fontId="5" fillId="0" borderId="11" xfId="2" applyNumberFormat="1" applyFont="1" applyFill="1" applyBorder="1" applyAlignment="1" applyProtection="1"/>
    <xf numFmtId="164" fontId="4" fillId="0" borderId="13" xfId="1" applyNumberFormat="1" applyFont="1" applyFill="1" applyBorder="1" applyAlignment="1" applyProtection="1">
      <alignment horizontal="right"/>
    </xf>
    <xf numFmtId="0" fontId="4" fillId="0" borderId="1" xfId="2" quotePrefix="1" applyNumberFormat="1" applyFont="1" applyFill="1" applyBorder="1" applyAlignment="1" applyProtection="1">
      <alignment horizontal="left"/>
    </xf>
    <xf numFmtId="164" fontId="4" fillId="4" borderId="16" xfId="1" applyNumberFormat="1" applyFont="1" applyFill="1" applyBorder="1" applyAlignment="1" applyProtection="1">
      <alignment horizontal="right"/>
      <protection locked="0"/>
    </xf>
    <xf numFmtId="164" fontId="4" fillId="4" borderId="18" xfId="1" applyNumberFormat="1" applyFont="1" applyFill="1" applyBorder="1" applyAlignment="1" applyProtection="1">
      <alignment horizontal="right"/>
      <protection locked="0"/>
    </xf>
    <xf numFmtId="0" fontId="4" fillId="0" borderId="20" xfId="2" applyNumberFormat="1" applyFont="1" applyFill="1" applyBorder="1" applyAlignment="1" applyProtection="1">
      <alignment horizontal="left"/>
    </xf>
    <xf numFmtId="0" fontId="5" fillId="0" borderId="4" xfId="2" quotePrefix="1" applyNumberFormat="1" applyFont="1" applyFill="1" applyBorder="1" applyAlignment="1" applyProtection="1">
      <alignment horizontal="left"/>
    </xf>
    <xf numFmtId="0" fontId="5" fillId="0" borderId="60" xfId="2" applyNumberFormat="1" applyFont="1" applyFill="1" applyBorder="1" applyAlignment="1" applyProtection="1"/>
    <xf numFmtId="164" fontId="5" fillId="0" borderId="23" xfId="1" applyNumberFormat="1" applyFont="1" applyFill="1" applyBorder="1" applyAlignment="1" applyProtection="1">
      <alignment horizontal="right"/>
    </xf>
    <xf numFmtId="0" fontId="4" fillId="0" borderId="56" xfId="2" applyNumberFormat="1" applyFont="1" applyFill="1" applyBorder="1" applyAlignment="1" applyProtection="1">
      <alignment horizontal="left"/>
    </xf>
    <xf numFmtId="0" fontId="4" fillId="0" borderId="20" xfId="2" quotePrefix="1" applyNumberFormat="1" applyFont="1" applyFill="1" applyBorder="1" applyAlignment="1" applyProtection="1">
      <alignment horizontal="left"/>
    </xf>
    <xf numFmtId="0" fontId="4" fillId="0" borderId="57" xfId="2" applyNumberFormat="1" applyFont="1" applyFill="1" applyBorder="1" applyAlignment="1" applyProtection="1">
      <alignment horizontal="left"/>
    </xf>
    <xf numFmtId="0" fontId="4" fillId="0" borderId="4" xfId="2" applyNumberFormat="1" applyFont="1" applyFill="1" applyBorder="1" applyAlignment="1" applyProtection="1">
      <alignment horizontal="left"/>
    </xf>
    <xf numFmtId="0" fontId="4" fillId="0" borderId="60" xfId="2" applyNumberFormat="1" applyFont="1" applyFill="1" applyBorder="1" applyAlignment="1" applyProtection="1">
      <alignment horizontal="left"/>
    </xf>
    <xf numFmtId="164" fontId="4" fillId="4" borderId="23" xfId="1" applyNumberFormat="1" applyFont="1" applyFill="1" applyBorder="1" applyAlignment="1" applyProtection="1">
      <alignment horizontal="right"/>
      <protection locked="0"/>
    </xf>
    <xf numFmtId="0" fontId="5" fillId="0" borderId="30" xfId="2" quotePrefix="1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11" xfId="2" quotePrefix="1" applyNumberFormat="1" applyFont="1" applyFill="1" applyBorder="1" applyAlignment="1" applyProtection="1">
      <alignment horizontal="center" vertical="center" wrapText="1"/>
    </xf>
    <xf numFmtId="0" fontId="5" fillId="0" borderId="12" xfId="2" quotePrefix="1" applyNumberFormat="1" applyFont="1" applyFill="1" applyBorder="1" applyAlignment="1" applyProtection="1">
      <alignment horizontal="center" vertical="center" wrapText="1"/>
    </xf>
    <xf numFmtId="0" fontId="5" fillId="0" borderId="13" xfId="2" quotePrefix="1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24" xfId="2" applyNumberFormat="1" applyFont="1" applyFill="1" applyBorder="1" applyAlignment="1" applyProtection="1">
      <alignment horizontal="center" vertical="center" wrapText="1"/>
    </xf>
    <xf numFmtId="0" fontId="5" fillId="0" borderId="12" xfId="2" quotePrefix="1" applyNumberFormat="1" applyFont="1" applyFill="1" applyBorder="1" applyAlignment="1" applyProtection="1">
      <alignment horizontal="left"/>
    </xf>
    <xf numFmtId="0" fontId="5" fillId="0" borderId="62" xfId="2" quotePrefix="1" applyNumberFormat="1" applyFont="1" applyFill="1" applyBorder="1" applyAlignment="1" applyProtection="1">
      <alignment horizontal="left"/>
    </xf>
    <xf numFmtId="0" fontId="5" fillId="0" borderId="11" xfId="2" quotePrefix="1" applyNumberFormat="1" applyFont="1" applyFill="1" applyBorder="1" applyAlignment="1" applyProtection="1">
      <alignment horizontal="left" vertical="center" wrapText="1"/>
    </xf>
    <xf numFmtId="0" fontId="5" fillId="0" borderId="12" xfId="2" quotePrefix="1" applyNumberFormat="1" applyFont="1" applyFill="1" applyBorder="1" applyAlignment="1" applyProtection="1">
      <alignment horizontal="left" vertical="center" wrapText="1"/>
    </xf>
    <xf numFmtId="0" fontId="5" fillId="0" borderId="13" xfId="2" quotePrefix="1" applyNumberFormat="1" applyFont="1" applyFill="1" applyBorder="1" applyAlignment="1" applyProtection="1">
      <alignment horizontal="left" vertical="center" wrapText="1"/>
    </xf>
    <xf numFmtId="0" fontId="5" fillId="0" borderId="11" xfId="2" applyNumberFormat="1" applyFont="1" applyFill="1" applyBorder="1" applyAlignment="1" applyProtection="1">
      <alignment horizontal="center"/>
    </xf>
    <xf numFmtId="0" fontId="5" fillId="0" borderId="12" xfId="2" quotePrefix="1" applyNumberFormat="1" applyFont="1" applyFill="1" applyBorder="1" applyAlignment="1" applyProtection="1">
      <alignment horizontal="center"/>
    </xf>
    <xf numFmtId="0" fontId="5" fillId="0" borderId="13" xfId="2" quotePrefix="1" applyNumberFormat="1" applyFont="1" applyFill="1" applyBorder="1" applyAlignment="1" applyProtection="1">
      <alignment horizontal="center"/>
    </xf>
    <xf numFmtId="0" fontId="5" fillId="0" borderId="12" xfId="2" applyNumberFormat="1" applyFont="1" applyFill="1" applyBorder="1" applyAlignment="1" applyProtection="1">
      <alignment horizontal="center"/>
    </xf>
    <xf numFmtId="0" fontId="5" fillId="0" borderId="13" xfId="2" applyNumberFormat="1" applyFont="1" applyFill="1" applyBorder="1" applyAlignment="1" applyProtection="1">
      <alignment horizontal="center"/>
    </xf>
    <xf numFmtId="0" fontId="5" fillId="0" borderId="11" xfId="2" quotePrefix="1" applyNumberFormat="1" applyFont="1" applyFill="1" applyBorder="1" applyAlignment="1" applyProtection="1">
      <alignment horizontal="center"/>
    </xf>
    <xf numFmtId="0" fontId="5" fillId="0" borderId="11" xfId="2" quotePrefix="1" applyNumberFormat="1" applyFont="1" applyFill="1" applyBorder="1" applyAlignment="1" applyProtection="1">
      <alignment horizontal="center" wrapText="1"/>
    </xf>
    <xf numFmtId="0" fontId="5" fillId="0" borderId="12" xfId="2" quotePrefix="1" applyNumberFormat="1" applyFont="1" applyFill="1" applyBorder="1" applyAlignment="1" applyProtection="1">
      <alignment horizontal="center" wrapText="1"/>
    </xf>
    <xf numFmtId="0" fontId="5" fillId="0" borderId="13" xfId="2" quotePrefix="1" applyNumberFormat="1" applyFont="1" applyFill="1" applyBorder="1" applyAlignment="1" applyProtection="1">
      <alignment horizontal="center" wrapText="1"/>
    </xf>
    <xf numFmtId="0" fontId="5" fillId="0" borderId="53" xfId="2" applyNumberFormat="1" applyFont="1" applyFill="1" applyBorder="1" applyAlignment="1" applyProtection="1">
      <alignment horizontal="center" vertical="center" wrapText="1"/>
    </xf>
    <xf numFmtId="0" fontId="5" fillId="0" borderId="46" xfId="2" applyNumberFormat="1" applyFont="1" applyFill="1" applyBorder="1" applyAlignment="1" applyProtection="1">
      <alignment horizontal="center" vertical="center" wrapText="1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5" fillId="0" borderId="0" xfId="2" applyNumberFormat="1" applyFont="1" applyFill="1" applyAlignment="1" applyProtection="1">
      <alignment horizontal="center"/>
    </xf>
    <xf numFmtId="0" fontId="5" fillId="0" borderId="7" xfId="2" applyNumberFormat="1" applyFont="1" applyFill="1" applyBorder="1" applyAlignment="1" applyProtection="1">
      <alignment horizontal="center"/>
    </xf>
    <xf numFmtId="0" fontId="5" fillId="0" borderId="8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0" fontId="5" fillId="0" borderId="10" xfId="2" applyNumberFormat="1" applyFont="1" applyFill="1" applyBorder="1" applyAlignment="1" applyProtection="1">
      <alignment horizontal="center"/>
    </xf>
    <xf numFmtId="0" fontId="5" fillId="0" borderId="4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0" fontId="5" fillId="0" borderId="6" xfId="2" applyNumberFormat="1" applyFont="1" applyFill="1" applyBorder="1" applyAlignment="1" applyProtection="1">
      <alignment horizontal="center"/>
    </xf>
    <xf numFmtId="0" fontId="5" fillId="0" borderId="1" xfId="2" applyNumberFormat="1" applyFont="1" applyFill="1" applyBorder="1" applyAlignment="1" applyProtection="1">
      <alignment horizontal="center"/>
    </xf>
    <xf numFmtId="0" fontId="5" fillId="0" borderId="2" xfId="2" applyNumberFormat="1" applyFont="1" applyFill="1" applyBorder="1" applyAlignment="1" applyProtection="1">
      <alignment horizontal="center"/>
    </xf>
    <xf numFmtId="0" fontId="5" fillId="0" borderId="3" xfId="2" applyNumberFormat="1" applyFont="1" applyFill="1" applyBorder="1" applyAlignment="1" applyProtection="1">
      <alignment horizontal="center"/>
    </xf>
  </cellXfs>
  <cellStyles count="6">
    <cellStyle name="Millares_RMC0" xfId="4"/>
    <cellStyle name="Moneda" xfId="1" builtinId="4"/>
    <cellStyle name="Moneda_rem0" xfId="3"/>
    <cellStyle name="Normal" xfId="0" builtinId="0"/>
    <cellStyle name="Normal_rem0" xfId="5"/>
    <cellStyle name="Normal_RMC_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_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2011</v>
          </cell>
        </row>
        <row r="11">
          <cell r="B11" t="str">
            <v>DRA. RUTH  ISABEL MUÑOZ ESPINOZA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 refreshError="1"/>
      <sheetData sheetId="2" refreshError="1">
        <row r="12">
          <cell r="D12">
            <v>44410</v>
          </cell>
        </row>
        <row r="13">
          <cell r="D13">
            <v>17573</v>
          </cell>
        </row>
        <row r="14">
          <cell r="D14">
            <v>18385</v>
          </cell>
        </row>
        <row r="15">
          <cell r="D15">
            <v>1122</v>
          </cell>
        </row>
        <row r="16">
          <cell r="D16">
            <v>0</v>
          </cell>
        </row>
        <row r="17">
          <cell r="D17">
            <v>1000</v>
          </cell>
        </row>
        <row r="18">
          <cell r="D18">
            <v>3999</v>
          </cell>
        </row>
        <row r="19">
          <cell r="D19">
            <v>3390</v>
          </cell>
        </row>
        <row r="20">
          <cell r="D20">
            <v>72</v>
          </cell>
        </row>
        <row r="21">
          <cell r="D21">
            <v>537</v>
          </cell>
        </row>
        <row r="22">
          <cell r="D22">
            <v>0</v>
          </cell>
        </row>
        <row r="23">
          <cell r="D23">
            <v>42</v>
          </cell>
        </row>
        <row r="24">
          <cell r="D24">
            <v>2289</v>
          </cell>
        </row>
        <row r="25">
          <cell r="D25">
            <v>3593</v>
          </cell>
        </row>
        <row r="26">
          <cell r="D26">
            <v>2159</v>
          </cell>
        </row>
        <row r="27">
          <cell r="D27">
            <v>2</v>
          </cell>
        </row>
        <row r="28">
          <cell r="D28">
            <v>452</v>
          </cell>
        </row>
        <row r="30">
          <cell r="D30">
            <v>775</v>
          </cell>
        </row>
        <row r="31">
          <cell r="D31">
            <v>0</v>
          </cell>
        </row>
        <row r="32">
          <cell r="D32">
            <v>205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6">
          <cell r="F66">
            <v>0</v>
          </cell>
          <cell r="G66">
            <v>0</v>
          </cell>
          <cell r="H66">
            <v>0</v>
          </cell>
        </row>
        <row r="67">
          <cell r="F67">
            <v>218</v>
          </cell>
          <cell r="G67">
            <v>0</v>
          </cell>
          <cell r="H67">
            <v>0</v>
          </cell>
        </row>
        <row r="68">
          <cell r="F68">
            <v>12</v>
          </cell>
          <cell r="G68">
            <v>0</v>
          </cell>
          <cell r="H68">
            <v>0</v>
          </cell>
        </row>
        <row r="69">
          <cell r="F69">
            <v>3</v>
          </cell>
          <cell r="G69">
            <v>0</v>
          </cell>
          <cell r="H69">
            <v>0</v>
          </cell>
        </row>
        <row r="70">
          <cell r="F70">
            <v>126</v>
          </cell>
          <cell r="G70">
            <v>2</v>
          </cell>
          <cell r="H70">
            <v>0</v>
          </cell>
        </row>
        <row r="71">
          <cell r="F71">
            <v>182</v>
          </cell>
          <cell r="G71">
            <v>0</v>
          </cell>
          <cell r="H71">
            <v>0</v>
          </cell>
        </row>
        <row r="72">
          <cell r="F72">
            <v>5</v>
          </cell>
          <cell r="G72">
            <v>1</v>
          </cell>
          <cell r="H72">
            <v>0</v>
          </cell>
        </row>
        <row r="73">
          <cell r="F73">
            <v>1</v>
          </cell>
          <cell r="G73">
            <v>0</v>
          </cell>
          <cell r="H73">
            <v>0</v>
          </cell>
        </row>
        <row r="74">
          <cell r="F74">
            <v>124</v>
          </cell>
          <cell r="G74">
            <v>8</v>
          </cell>
          <cell r="H74">
            <v>0</v>
          </cell>
        </row>
        <row r="75">
          <cell r="F75">
            <v>10</v>
          </cell>
          <cell r="G75">
            <v>0</v>
          </cell>
          <cell r="H75">
            <v>0</v>
          </cell>
        </row>
        <row r="76">
          <cell r="F76">
            <v>31</v>
          </cell>
          <cell r="G76">
            <v>0</v>
          </cell>
          <cell r="H76">
            <v>0</v>
          </cell>
        </row>
        <row r="77">
          <cell r="F77">
            <v>4</v>
          </cell>
          <cell r="G77">
            <v>0</v>
          </cell>
          <cell r="H77">
            <v>0</v>
          </cell>
        </row>
        <row r="78">
          <cell r="F78">
            <v>24</v>
          </cell>
          <cell r="G78">
            <v>4</v>
          </cell>
          <cell r="H78">
            <v>0</v>
          </cell>
        </row>
        <row r="79">
          <cell r="F79">
            <v>80</v>
          </cell>
          <cell r="G79">
            <v>0</v>
          </cell>
          <cell r="H79">
            <v>0</v>
          </cell>
        </row>
        <row r="80">
          <cell r="F80">
            <v>40</v>
          </cell>
          <cell r="G80">
            <v>3</v>
          </cell>
          <cell r="H80">
            <v>0</v>
          </cell>
        </row>
        <row r="120">
          <cell r="E120">
            <v>1648</v>
          </cell>
        </row>
      </sheetData>
      <sheetData sheetId="3" refreshError="1">
        <row r="13">
          <cell r="U13">
            <v>3710</v>
          </cell>
          <cell r="V13">
            <v>0</v>
          </cell>
        </row>
        <row r="14">
          <cell r="U14">
            <v>4670</v>
          </cell>
          <cell r="V14">
            <v>0</v>
          </cell>
        </row>
        <row r="15">
          <cell r="U15">
            <v>9990</v>
          </cell>
          <cell r="V15">
            <v>0</v>
          </cell>
        </row>
        <row r="16">
          <cell r="U16">
            <v>5970</v>
          </cell>
          <cell r="V16">
            <v>0</v>
          </cell>
        </row>
        <row r="17">
          <cell r="D17">
            <v>8937</v>
          </cell>
          <cell r="U17">
            <v>6550</v>
          </cell>
          <cell r="V17">
            <v>58537350</v>
          </cell>
        </row>
        <row r="18">
          <cell r="U18">
            <v>12540</v>
          </cell>
          <cell r="V18">
            <v>0</v>
          </cell>
        </row>
        <row r="19">
          <cell r="D19">
            <v>87</v>
          </cell>
          <cell r="U19">
            <v>12540</v>
          </cell>
          <cell r="V19">
            <v>1090980</v>
          </cell>
        </row>
        <row r="20">
          <cell r="U20">
            <v>5040</v>
          </cell>
          <cell r="V20">
            <v>0</v>
          </cell>
        </row>
        <row r="21">
          <cell r="U21">
            <v>6050</v>
          </cell>
          <cell r="V21">
            <v>0</v>
          </cell>
        </row>
        <row r="22">
          <cell r="U22">
            <v>7510</v>
          </cell>
          <cell r="V22">
            <v>0</v>
          </cell>
        </row>
        <row r="23">
          <cell r="D23">
            <v>1246</v>
          </cell>
          <cell r="U23">
            <v>5040</v>
          </cell>
          <cell r="V23">
            <v>6279840</v>
          </cell>
        </row>
        <row r="24">
          <cell r="D24">
            <v>720</v>
          </cell>
          <cell r="U24">
            <v>6050</v>
          </cell>
          <cell r="V24">
            <v>4356000</v>
          </cell>
        </row>
        <row r="25">
          <cell r="D25">
            <v>2109</v>
          </cell>
          <cell r="U25">
            <v>7510</v>
          </cell>
          <cell r="V25">
            <v>15838590</v>
          </cell>
        </row>
        <row r="27">
          <cell r="D27">
            <v>1460</v>
          </cell>
          <cell r="U27">
            <v>990</v>
          </cell>
          <cell r="V27">
            <v>1445400</v>
          </cell>
        </row>
        <row r="28">
          <cell r="U28">
            <v>1680</v>
          </cell>
          <cell r="V28">
            <v>0</v>
          </cell>
        </row>
        <row r="29">
          <cell r="U29">
            <v>530</v>
          </cell>
          <cell r="V29">
            <v>0</v>
          </cell>
        </row>
        <row r="30">
          <cell r="D30">
            <v>41</v>
          </cell>
          <cell r="U30">
            <v>1340</v>
          </cell>
          <cell r="V30">
            <v>54940</v>
          </cell>
        </row>
        <row r="31">
          <cell r="D31">
            <v>720</v>
          </cell>
          <cell r="U31">
            <v>1070</v>
          </cell>
          <cell r="V31">
            <v>770400</v>
          </cell>
        </row>
        <row r="32">
          <cell r="U32">
            <v>990</v>
          </cell>
          <cell r="V32">
            <v>0</v>
          </cell>
        </row>
        <row r="34">
          <cell r="U34">
            <v>3230</v>
          </cell>
          <cell r="V34">
            <v>0</v>
          </cell>
        </row>
        <row r="35">
          <cell r="D35">
            <v>128</v>
          </cell>
          <cell r="U35">
            <v>1780</v>
          </cell>
          <cell r="V35">
            <v>227840</v>
          </cell>
        </row>
        <row r="36">
          <cell r="D36">
            <v>4</v>
          </cell>
          <cell r="U36">
            <v>1780</v>
          </cell>
          <cell r="V36">
            <v>7120</v>
          </cell>
        </row>
        <row r="37">
          <cell r="D37">
            <v>603</v>
          </cell>
          <cell r="U37">
            <v>530</v>
          </cell>
          <cell r="V37">
            <v>319590</v>
          </cell>
        </row>
        <row r="39">
          <cell r="U39">
            <v>1540</v>
          </cell>
          <cell r="V39">
            <v>0</v>
          </cell>
        </row>
        <row r="40">
          <cell r="D40">
            <v>11</v>
          </cell>
          <cell r="U40">
            <v>1540</v>
          </cell>
          <cell r="V40">
            <v>16940</v>
          </cell>
        </row>
        <row r="41">
          <cell r="U41">
            <v>880</v>
          </cell>
          <cell r="V41">
            <v>0</v>
          </cell>
        </row>
        <row r="43">
          <cell r="D43">
            <v>2478</v>
          </cell>
          <cell r="U43">
            <v>680</v>
          </cell>
          <cell r="V43">
            <v>1685040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1200</v>
          </cell>
          <cell r="V47">
            <v>0</v>
          </cell>
        </row>
        <row r="48">
          <cell r="D48">
            <v>601</v>
          </cell>
          <cell r="U48">
            <v>580</v>
          </cell>
          <cell r="V48">
            <v>348580</v>
          </cell>
        </row>
        <row r="49">
          <cell r="D49">
            <v>839</v>
          </cell>
          <cell r="U49">
            <v>1780</v>
          </cell>
          <cell r="V49">
            <v>1493420</v>
          </cell>
        </row>
        <row r="50">
          <cell r="D50">
            <v>35</v>
          </cell>
          <cell r="U50">
            <v>13350</v>
          </cell>
          <cell r="V50">
            <v>467250</v>
          </cell>
        </row>
        <row r="51">
          <cell r="D51">
            <v>99</v>
          </cell>
          <cell r="U51">
            <v>30660</v>
          </cell>
          <cell r="V51">
            <v>3035340</v>
          </cell>
        </row>
        <row r="52">
          <cell r="D52">
            <v>10</v>
          </cell>
          <cell r="V52">
            <v>76500</v>
          </cell>
        </row>
        <row r="59">
          <cell r="D59">
            <v>4573</v>
          </cell>
          <cell r="U59">
            <v>29340</v>
          </cell>
          <cell r="V59">
            <v>134171820</v>
          </cell>
        </row>
        <row r="60">
          <cell r="U60">
            <v>27010</v>
          </cell>
          <cell r="V60">
            <v>0</v>
          </cell>
        </row>
        <row r="61">
          <cell r="U61">
            <v>22520</v>
          </cell>
          <cell r="V61">
            <v>0</v>
          </cell>
        </row>
        <row r="62">
          <cell r="U62">
            <v>121970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152</v>
          </cell>
          <cell r="U65">
            <v>58920</v>
          </cell>
          <cell r="V65">
            <v>8955840</v>
          </cell>
        </row>
        <row r="66">
          <cell r="D66">
            <v>80</v>
          </cell>
          <cell r="V66">
            <v>4713600</v>
          </cell>
        </row>
        <row r="67">
          <cell r="V67">
            <v>0</v>
          </cell>
        </row>
        <row r="68">
          <cell r="D68">
            <v>138</v>
          </cell>
          <cell r="U68">
            <v>52860</v>
          </cell>
          <cell r="V68">
            <v>7294680</v>
          </cell>
        </row>
        <row r="69">
          <cell r="U69">
            <v>15000</v>
          </cell>
          <cell r="V69">
            <v>0</v>
          </cell>
        </row>
        <row r="70">
          <cell r="U70">
            <v>23500</v>
          </cell>
          <cell r="V70">
            <v>0</v>
          </cell>
        </row>
        <row r="71">
          <cell r="U71">
            <v>24460</v>
          </cell>
          <cell r="V71">
            <v>0</v>
          </cell>
        </row>
        <row r="72">
          <cell r="U72">
            <v>9860</v>
          </cell>
          <cell r="V72">
            <v>0</v>
          </cell>
        </row>
        <row r="73">
          <cell r="U73">
            <v>23690</v>
          </cell>
          <cell r="V73">
            <v>0</v>
          </cell>
        </row>
        <row r="74">
          <cell r="U74">
            <v>9860</v>
          </cell>
          <cell r="V74">
            <v>0</v>
          </cell>
        </row>
        <row r="75">
          <cell r="D75">
            <v>26</v>
          </cell>
          <cell r="U75">
            <v>4350</v>
          </cell>
          <cell r="V75">
            <v>113100</v>
          </cell>
        </row>
        <row r="76">
          <cell r="U76">
            <v>29340</v>
          </cell>
          <cell r="V76">
            <v>0</v>
          </cell>
        </row>
        <row r="77">
          <cell r="U77">
            <v>79320</v>
          </cell>
          <cell r="V77">
            <v>0</v>
          </cell>
        </row>
        <row r="78">
          <cell r="U78">
            <v>9360</v>
          </cell>
          <cell r="V78">
            <v>0</v>
          </cell>
        </row>
        <row r="79">
          <cell r="U79">
            <v>5690</v>
          </cell>
          <cell r="V79">
            <v>0</v>
          </cell>
        </row>
        <row r="80">
          <cell r="U80">
            <v>41110</v>
          </cell>
          <cell r="V80">
            <v>0</v>
          </cell>
        </row>
        <row r="81">
          <cell r="U81">
            <v>7210</v>
          </cell>
          <cell r="V81">
            <v>0</v>
          </cell>
        </row>
        <row r="83">
          <cell r="V83">
            <v>17372540</v>
          </cell>
        </row>
        <row r="174">
          <cell r="V174">
            <v>18929070</v>
          </cell>
        </row>
        <row r="243">
          <cell r="V243">
            <v>3470530</v>
          </cell>
        </row>
        <row r="289">
          <cell r="V289">
            <v>0</v>
          </cell>
        </row>
        <row r="295">
          <cell r="V295">
            <v>4052130</v>
          </cell>
        </row>
        <row r="362">
          <cell r="V362">
            <v>6893600</v>
          </cell>
        </row>
        <row r="405">
          <cell r="V405">
            <v>160610</v>
          </cell>
        </row>
        <row r="428">
          <cell r="V428">
            <v>1975180</v>
          </cell>
        </row>
        <row r="446">
          <cell r="V446">
            <v>0</v>
          </cell>
        </row>
        <row r="456">
          <cell r="V456">
            <v>59090</v>
          </cell>
        </row>
        <row r="500">
          <cell r="V500">
            <v>2398600</v>
          </cell>
        </row>
        <row r="535">
          <cell r="V535">
            <v>14955820</v>
          </cell>
        </row>
        <row r="590">
          <cell r="V590">
            <v>41380</v>
          </cell>
        </row>
        <row r="615">
          <cell r="V615">
            <v>21032710</v>
          </cell>
        </row>
        <row r="633">
          <cell r="V633">
            <v>12743810</v>
          </cell>
        </row>
        <row r="634">
          <cell r="V634">
            <v>0</v>
          </cell>
        </row>
        <row r="654">
          <cell r="V654">
            <v>0</v>
          </cell>
        </row>
        <row r="670">
          <cell r="V670">
            <v>0</v>
          </cell>
        </row>
        <row r="697">
          <cell r="V697">
            <v>0</v>
          </cell>
        </row>
        <row r="716">
          <cell r="V716">
            <v>0</v>
          </cell>
        </row>
        <row r="723">
          <cell r="V723">
            <v>0</v>
          </cell>
        </row>
        <row r="726">
          <cell r="V726">
            <v>0</v>
          </cell>
        </row>
        <row r="743">
          <cell r="V743">
            <v>0</v>
          </cell>
        </row>
        <row r="760">
          <cell r="V760">
            <v>0</v>
          </cell>
        </row>
        <row r="764">
          <cell r="D764">
            <v>444</v>
          </cell>
          <cell r="V764">
            <v>2440530</v>
          </cell>
        </row>
        <row r="779">
          <cell r="V779">
            <v>0</v>
          </cell>
        </row>
        <row r="791">
          <cell r="D791">
            <v>75</v>
          </cell>
          <cell r="U791">
            <v>6130</v>
          </cell>
          <cell r="V791">
            <v>459750</v>
          </cell>
        </row>
        <row r="792">
          <cell r="U792">
            <v>2400</v>
          </cell>
          <cell r="V792">
            <v>0</v>
          </cell>
        </row>
        <row r="793">
          <cell r="D793">
            <v>562</v>
          </cell>
          <cell r="U793">
            <v>2400</v>
          </cell>
          <cell r="V793">
            <v>1348800</v>
          </cell>
        </row>
        <row r="794">
          <cell r="U794">
            <v>9560</v>
          </cell>
          <cell r="V794">
            <v>0</v>
          </cell>
        </row>
        <row r="795">
          <cell r="D795">
            <v>7</v>
          </cell>
          <cell r="U795">
            <v>11200</v>
          </cell>
          <cell r="V795">
            <v>78400</v>
          </cell>
        </row>
        <row r="796">
          <cell r="U796">
            <v>25400</v>
          </cell>
          <cell r="V796">
            <v>0</v>
          </cell>
        </row>
        <row r="797">
          <cell r="U797">
            <v>2790</v>
          </cell>
          <cell r="V797">
            <v>0</v>
          </cell>
        </row>
        <row r="798">
          <cell r="U798">
            <v>6550</v>
          </cell>
          <cell r="V798">
            <v>0</v>
          </cell>
        </row>
        <row r="801">
          <cell r="U801">
            <v>12660</v>
          </cell>
          <cell r="V801">
            <v>0</v>
          </cell>
        </row>
        <row r="802">
          <cell r="D802">
            <v>13</v>
          </cell>
          <cell r="U802">
            <v>10140</v>
          </cell>
          <cell r="V802">
            <v>131820</v>
          </cell>
        </row>
        <row r="803">
          <cell r="U803">
            <v>343800</v>
          </cell>
          <cell r="V803">
            <v>0</v>
          </cell>
        </row>
        <row r="807">
          <cell r="V807">
            <v>0</v>
          </cell>
        </row>
        <row r="878">
          <cell r="V878">
            <v>95825090</v>
          </cell>
        </row>
        <row r="957">
          <cell r="V957">
            <v>1116370</v>
          </cell>
        </row>
        <row r="1032">
          <cell r="U1032">
            <v>8100</v>
          </cell>
          <cell r="V1032">
            <v>0</v>
          </cell>
        </row>
        <row r="1033">
          <cell r="V1033">
            <v>353240</v>
          </cell>
        </row>
        <row r="1094">
          <cell r="V1094">
            <v>5042200</v>
          </cell>
        </row>
        <row r="1162">
          <cell r="V1162">
            <v>3883730</v>
          </cell>
        </row>
        <row r="1186">
          <cell r="D1186">
            <v>705</v>
          </cell>
          <cell r="U1186">
            <v>4340</v>
          </cell>
          <cell r="V1186">
            <v>3059700</v>
          </cell>
        </row>
        <row r="1187">
          <cell r="D1187">
            <v>18</v>
          </cell>
          <cell r="U1187">
            <v>12240</v>
          </cell>
          <cell r="V1187">
            <v>220320</v>
          </cell>
        </row>
        <row r="1188">
          <cell r="D1188">
            <v>29</v>
          </cell>
          <cell r="U1188">
            <v>20750</v>
          </cell>
          <cell r="V1188">
            <v>601750</v>
          </cell>
        </row>
        <row r="1189">
          <cell r="U1189">
            <v>39600</v>
          </cell>
          <cell r="V1189">
            <v>0</v>
          </cell>
        </row>
        <row r="1190">
          <cell r="D1190">
            <v>90</v>
          </cell>
          <cell r="U1190">
            <v>44140</v>
          </cell>
          <cell r="V1190">
            <v>3972600</v>
          </cell>
        </row>
        <row r="1191">
          <cell r="U1191">
            <v>24760</v>
          </cell>
          <cell r="V1191">
            <v>0</v>
          </cell>
        </row>
        <row r="1192">
          <cell r="U1192">
            <v>191590</v>
          </cell>
          <cell r="V1192">
            <v>0</v>
          </cell>
        </row>
        <row r="1193">
          <cell r="U1193">
            <v>217800</v>
          </cell>
          <cell r="V1193">
            <v>0</v>
          </cell>
        </row>
        <row r="1194">
          <cell r="U1194">
            <v>177610</v>
          </cell>
          <cell r="V1194">
            <v>0</v>
          </cell>
        </row>
        <row r="1195">
          <cell r="U1195">
            <v>228130</v>
          </cell>
          <cell r="V1195">
            <v>0</v>
          </cell>
        </row>
        <row r="1196">
          <cell r="U1196">
            <v>233440</v>
          </cell>
          <cell r="V1196">
            <v>0</v>
          </cell>
        </row>
        <row r="1197">
          <cell r="U1197">
            <v>197410</v>
          </cell>
          <cell r="V1197">
            <v>0</v>
          </cell>
        </row>
        <row r="1198">
          <cell r="U1198">
            <v>210720</v>
          </cell>
          <cell r="V1198">
            <v>0</v>
          </cell>
        </row>
        <row r="1199">
          <cell r="U1199">
            <v>251960</v>
          </cell>
          <cell r="V1199">
            <v>0</v>
          </cell>
        </row>
        <row r="1200">
          <cell r="U1200">
            <v>223440</v>
          </cell>
          <cell r="V1200">
            <v>0</v>
          </cell>
        </row>
        <row r="1201">
          <cell r="U1201">
            <v>1635110</v>
          </cell>
          <cell r="V1201">
            <v>0</v>
          </cell>
        </row>
        <row r="1202">
          <cell r="U1202">
            <v>1021290</v>
          </cell>
          <cell r="V1202">
            <v>0</v>
          </cell>
        </row>
        <row r="1203">
          <cell r="U1203">
            <v>988490</v>
          </cell>
          <cell r="V1203">
            <v>0</v>
          </cell>
        </row>
        <row r="1204">
          <cell r="U1204">
            <v>1035570</v>
          </cell>
          <cell r="V1204">
            <v>0</v>
          </cell>
        </row>
        <row r="1205">
          <cell r="U1205">
            <v>146540</v>
          </cell>
          <cell r="V1205">
            <v>0</v>
          </cell>
        </row>
        <row r="1206">
          <cell r="U1206">
            <v>334400</v>
          </cell>
          <cell r="V1206">
            <v>0</v>
          </cell>
        </row>
        <row r="1207">
          <cell r="U1207">
            <v>123970</v>
          </cell>
          <cell r="V1207">
            <v>0</v>
          </cell>
        </row>
        <row r="1208">
          <cell r="U1208">
            <v>1004460</v>
          </cell>
          <cell r="V1208">
            <v>0</v>
          </cell>
        </row>
        <row r="1209">
          <cell r="U1209">
            <v>1004460</v>
          </cell>
          <cell r="V1209">
            <v>0</v>
          </cell>
        </row>
        <row r="1210">
          <cell r="V1210">
            <v>608290</v>
          </cell>
        </row>
        <row r="1276">
          <cell r="V1276">
            <v>196330</v>
          </cell>
        </row>
        <row r="1343">
          <cell r="D1343">
            <v>34</v>
          </cell>
          <cell r="U1343">
            <v>29960</v>
          </cell>
          <cell r="V1343">
            <v>1018640</v>
          </cell>
        </row>
        <row r="1344">
          <cell r="D1344">
            <v>1</v>
          </cell>
          <cell r="U1344">
            <v>36140</v>
          </cell>
          <cell r="V1344">
            <v>36140</v>
          </cell>
        </row>
        <row r="1345">
          <cell r="D1345">
            <v>6</v>
          </cell>
          <cell r="U1345">
            <v>38490</v>
          </cell>
          <cell r="V1345">
            <v>230940</v>
          </cell>
        </row>
        <row r="1346">
          <cell r="V1346">
            <v>26497210</v>
          </cell>
        </row>
        <row r="1430">
          <cell r="V1430">
            <v>632040</v>
          </cell>
        </row>
        <row r="1470">
          <cell r="U1470">
            <v>36940</v>
          </cell>
          <cell r="V1470">
            <v>0</v>
          </cell>
        </row>
        <row r="1471">
          <cell r="U1471">
            <v>23230</v>
          </cell>
          <cell r="V1471">
            <v>0</v>
          </cell>
        </row>
        <row r="1472">
          <cell r="U1472">
            <v>23230</v>
          </cell>
          <cell r="V1472">
            <v>0</v>
          </cell>
        </row>
        <row r="1473">
          <cell r="U1473">
            <v>703680</v>
          </cell>
          <cell r="V1473">
            <v>0</v>
          </cell>
        </row>
        <row r="1474">
          <cell r="U1474">
            <v>498630</v>
          </cell>
          <cell r="V1474">
            <v>0</v>
          </cell>
        </row>
        <row r="1475">
          <cell r="U1475">
            <v>42450</v>
          </cell>
          <cell r="V1475">
            <v>0</v>
          </cell>
        </row>
        <row r="1476">
          <cell r="U1476">
            <v>573040</v>
          </cell>
          <cell r="V1476">
            <v>0</v>
          </cell>
        </row>
        <row r="1477">
          <cell r="V1477">
            <v>4375140</v>
          </cell>
        </row>
        <row r="1562">
          <cell r="V1562">
            <v>11786930</v>
          </cell>
        </row>
        <row r="1580">
          <cell r="V1580">
            <v>889080</v>
          </cell>
        </row>
        <row r="1585">
          <cell r="V1585">
            <v>4775490</v>
          </cell>
        </row>
        <row r="1619">
          <cell r="V1619">
            <v>8246750</v>
          </cell>
        </row>
        <row r="1620">
          <cell r="D1620">
            <v>9</v>
          </cell>
          <cell r="V1620">
            <v>811530</v>
          </cell>
        </row>
        <row r="1621">
          <cell r="D1621">
            <v>25</v>
          </cell>
          <cell r="V1621">
            <v>2165000</v>
          </cell>
        </row>
        <row r="1622">
          <cell r="D1622">
            <v>46</v>
          </cell>
          <cell r="V1622">
            <v>5270220</v>
          </cell>
        </row>
        <row r="1623">
          <cell r="V1623">
            <v>0</v>
          </cell>
        </row>
        <row r="1624">
          <cell r="D1624">
            <v>100</v>
          </cell>
          <cell r="U1624">
            <v>114560</v>
          </cell>
          <cell r="V1624">
            <v>11456000</v>
          </cell>
        </row>
        <row r="1625">
          <cell r="D1625">
            <v>14</v>
          </cell>
          <cell r="U1625">
            <v>120540</v>
          </cell>
          <cell r="V1625">
            <v>1687560</v>
          </cell>
        </row>
        <row r="1627">
          <cell r="V1627">
            <v>5598205</v>
          </cell>
        </row>
        <row r="1833">
          <cell r="D1833">
            <v>2</v>
          </cell>
          <cell r="F1833">
            <v>0</v>
          </cell>
          <cell r="G1833">
            <v>0</v>
          </cell>
          <cell r="V1833">
            <v>95820</v>
          </cell>
        </row>
        <row r="1837">
          <cell r="D1837">
            <v>29</v>
          </cell>
          <cell r="V1837">
            <v>1738750</v>
          </cell>
        </row>
        <row r="1849">
          <cell r="D1849">
            <v>39</v>
          </cell>
          <cell r="U1849">
            <v>24850</v>
          </cell>
          <cell r="V1849">
            <v>969150</v>
          </cell>
        </row>
        <row r="1851">
          <cell r="D1851">
            <v>273</v>
          </cell>
          <cell r="U1851">
            <v>16380</v>
          </cell>
          <cell r="V1851">
            <v>4471740</v>
          </cell>
        </row>
        <row r="1852">
          <cell r="D1852">
            <v>185</v>
          </cell>
          <cell r="U1852">
            <v>51500</v>
          </cell>
          <cell r="V1852">
            <v>9527500</v>
          </cell>
        </row>
        <row r="1853">
          <cell r="U1853">
            <v>63840</v>
          </cell>
          <cell r="V1853">
            <v>0</v>
          </cell>
        </row>
        <row r="1854">
          <cell r="D1854">
            <v>133</v>
          </cell>
          <cell r="U1854">
            <v>2250</v>
          </cell>
          <cell r="V1854">
            <v>299250</v>
          </cell>
        </row>
        <row r="1855">
          <cell r="U1855">
            <v>70</v>
          </cell>
          <cell r="V1855">
            <v>0</v>
          </cell>
        </row>
        <row r="1856">
          <cell r="U1856">
            <v>135560</v>
          </cell>
          <cell r="V1856">
            <v>0</v>
          </cell>
        </row>
        <row r="1857">
          <cell r="U1857">
            <v>9220</v>
          </cell>
          <cell r="V1857">
            <v>0</v>
          </cell>
        </row>
        <row r="1859">
          <cell r="V1859">
            <v>6403160</v>
          </cell>
        </row>
        <row r="1876">
          <cell r="V1876">
            <v>5047300</v>
          </cell>
        </row>
        <row r="1895">
          <cell r="V1895">
            <v>2273640</v>
          </cell>
        </row>
        <row r="1920">
          <cell r="D1920">
            <v>252</v>
          </cell>
          <cell r="U1920">
            <v>17150</v>
          </cell>
          <cell r="V1920">
            <v>4321800</v>
          </cell>
        </row>
        <row r="1921">
          <cell r="U1921">
            <v>215070</v>
          </cell>
          <cell r="V1921">
            <v>0</v>
          </cell>
        </row>
        <row r="1923">
          <cell r="U1923">
            <v>219670</v>
          </cell>
          <cell r="V1923">
            <v>0</v>
          </cell>
        </row>
        <row r="1924">
          <cell r="U1924">
            <v>31220</v>
          </cell>
          <cell r="V1924">
            <v>0</v>
          </cell>
        </row>
        <row r="1925">
          <cell r="U1925">
            <v>117730</v>
          </cell>
          <cell r="V1925">
            <v>0</v>
          </cell>
        </row>
        <row r="1926">
          <cell r="U1926">
            <v>117730</v>
          </cell>
          <cell r="V1926">
            <v>0</v>
          </cell>
        </row>
        <row r="1927">
          <cell r="U1927">
            <v>214360</v>
          </cell>
          <cell r="V1927">
            <v>0</v>
          </cell>
        </row>
        <row r="1928">
          <cell r="U1928">
            <v>328960</v>
          </cell>
          <cell r="V1928">
            <v>0</v>
          </cell>
        </row>
        <row r="1929">
          <cell r="U1929">
            <v>561180</v>
          </cell>
          <cell r="V1929">
            <v>0</v>
          </cell>
        </row>
        <row r="1930">
          <cell r="U1930">
            <v>116880</v>
          </cell>
          <cell r="V1930">
            <v>0</v>
          </cell>
        </row>
        <row r="1931">
          <cell r="U1931">
            <v>315020</v>
          </cell>
          <cell r="V1931">
            <v>0</v>
          </cell>
        </row>
        <row r="1932">
          <cell r="U1932">
            <v>132640</v>
          </cell>
          <cell r="V1932">
            <v>0</v>
          </cell>
        </row>
        <row r="1933">
          <cell r="U1933">
            <v>115270</v>
          </cell>
          <cell r="V1933">
            <v>0</v>
          </cell>
        </row>
        <row r="1934">
          <cell r="U1934">
            <v>175240</v>
          </cell>
          <cell r="V1934">
            <v>0</v>
          </cell>
        </row>
        <row r="1935">
          <cell r="U1935">
            <v>46120</v>
          </cell>
          <cell r="V1935">
            <v>0</v>
          </cell>
        </row>
        <row r="1936">
          <cell r="U1936">
            <v>34460</v>
          </cell>
          <cell r="V1936">
            <v>0</v>
          </cell>
        </row>
        <row r="1937">
          <cell r="U1937">
            <v>188970</v>
          </cell>
          <cell r="V1937">
            <v>0</v>
          </cell>
        </row>
        <row r="1938">
          <cell r="U1938">
            <v>1124200</v>
          </cell>
          <cell r="V1938">
            <v>0</v>
          </cell>
        </row>
        <row r="1939">
          <cell r="U1939">
            <v>169610</v>
          </cell>
          <cell r="V1939">
            <v>0</v>
          </cell>
        </row>
        <row r="1940">
          <cell r="U1940">
            <v>149990</v>
          </cell>
          <cell r="V1940">
            <v>0</v>
          </cell>
        </row>
        <row r="1941">
          <cell r="U1941">
            <v>304480</v>
          </cell>
          <cell r="V1941">
            <v>0</v>
          </cell>
        </row>
        <row r="1942">
          <cell r="U1942">
            <v>1012520</v>
          </cell>
          <cell r="V1942">
            <v>0</v>
          </cell>
        </row>
        <row r="1943">
          <cell r="U1943">
            <v>1040530</v>
          </cell>
          <cell r="V1943">
            <v>0</v>
          </cell>
        </row>
        <row r="1944">
          <cell r="U1944">
            <v>823870</v>
          </cell>
          <cell r="V1944">
            <v>0</v>
          </cell>
        </row>
        <row r="1945">
          <cell r="U1945">
            <v>868290</v>
          </cell>
          <cell r="V1945">
            <v>0</v>
          </cell>
        </row>
        <row r="1946">
          <cell r="U1946">
            <v>342530</v>
          </cell>
          <cell r="V1946">
            <v>0</v>
          </cell>
        </row>
        <row r="1947">
          <cell r="U1947">
            <v>82030</v>
          </cell>
          <cell r="V1947">
            <v>0</v>
          </cell>
        </row>
        <row r="1948">
          <cell r="U1948">
            <v>244730</v>
          </cell>
          <cell r="V1948">
            <v>0</v>
          </cell>
        </row>
        <row r="1949">
          <cell r="U1949">
            <v>69200</v>
          </cell>
          <cell r="V1949">
            <v>0</v>
          </cell>
        </row>
        <row r="1950">
          <cell r="U1950">
            <v>1189020</v>
          </cell>
          <cell r="V1950">
            <v>0</v>
          </cell>
        </row>
        <row r="1951">
          <cell r="U1951">
            <v>278030</v>
          </cell>
          <cell r="V1951">
            <v>0</v>
          </cell>
        </row>
        <row r="1952">
          <cell r="U1952">
            <v>931380</v>
          </cell>
          <cell r="V1952">
            <v>0</v>
          </cell>
        </row>
        <row r="1953">
          <cell r="U1953">
            <v>570190</v>
          </cell>
          <cell r="V1953">
            <v>0</v>
          </cell>
        </row>
        <row r="1954">
          <cell r="U1954">
            <v>465310</v>
          </cell>
          <cell r="V1954">
            <v>0</v>
          </cell>
        </row>
        <row r="1955">
          <cell r="U1955">
            <v>250830</v>
          </cell>
          <cell r="V1955">
            <v>0</v>
          </cell>
        </row>
        <row r="1956">
          <cell r="U1956">
            <v>146240</v>
          </cell>
          <cell r="V1956">
            <v>0</v>
          </cell>
        </row>
        <row r="1957">
          <cell r="U1957">
            <v>353360</v>
          </cell>
          <cell r="V1957">
            <v>0</v>
          </cell>
        </row>
        <row r="1958">
          <cell r="U1958">
            <v>366190</v>
          </cell>
          <cell r="V1958">
            <v>0</v>
          </cell>
        </row>
        <row r="1959">
          <cell r="U1959">
            <v>228810</v>
          </cell>
          <cell r="V1959">
            <v>0</v>
          </cell>
        </row>
        <row r="1960">
          <cell r="D1960">
            <v>92</v>
          </cell>
          <cell r="U1960">
            <v>31110</v>
          </cell>
          <cell r="V1960">
            <v>2862120</v>
          </cell>
        </row>
        <row r="1962">
          <cell r="D1962">
            <v>8</v>
          </cell>
          <cell r="U1962">
            <v>6120</v>
          </cell>
          <cell r="V1962">
            <v>48960</v>
          </cell>
        </row>
        <row r="1963">
          <cell r="U1963">
            <v>3260</v>
          </cell>
          <cell r="V1963">
            <v>0</v>
          </cell>
        </row>
        <row r="1964">
          <cell r="D1964">
            <v>5</v>
          </cell>
          <cell r="U1964">
            <v>12280</v>
          </cell>
          <cell r="V1964">
            <v>61400</v>
          </cell>
        </row>
        <row r="1965">
          <cell r="U1965">
            <v>125980</v>
          </cell>
          <cell r="V1965">
            <v>0</v>
          </cell>
        </row>
        <row r="1966">
          <cell r="U1966">
            <v>691940</v>
          </cell>
          <cell r="V196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2011</v>
          </cell>
        </row>
        <row r="11">
          <cell r="B11" t="str">
            <v xml:space="preserve">DR.  RUBEN BRAVO CASTILLO </v>
          </cell>
        </row>
        <row r="12">
          <cell r="A12" t="str">
            <v>Jefe de Estadisticas</v>
          </cell>
          <cell r="B12" t="str">
            <v>SRA. MARIA INES NUÑEZ  GONZALEZ</v>
          </cell>
        </row>
      </sheetData>
      <sheetData sheetId="1"/>
      <sheetData sheetId="2">
        <row r="12">
          <cell r="D12">
            <v>47499</v>
          </cell>
        </row>
        <row r="13">
          <cell r="D13">
            <v>18392</v>
          </cell>
        </row>
        <row r="14">
          <cell r="D14">
            <v>20326</v>
          </cell>
        </row>
        <row r="15">
          <cell r="D15">
            <v>969</v>
          </cell>
        </row>
        <row r="16">
          <cell r="D16">
            <v>0</v>
          </cell>
        </row>
        <row r="17">
          <cell r="D17">
            <v>1095</v>
          </cell>
        </row>
        <row r="18">
          <cell r="D18">
            <v>4276</v>
          </cell>
        </row>
        <row r="19">
          <cell r="D19">
            <v>3651</v>
          </cell>
        </row>
        <row r="20">
          <cell r="D20">
            <v>76</v>
          </cell>
        </row>
        <row r="21">
          <cell r="D21">
            <v>549</v>
          </cell>
        </row>
        <row r="22">
          <cell r="D22">
            <v>0</v>
          </cell>
        </row>
        <row r="23">
          <cell r="D23">
            <v>76</v>
          </cell>
        </row>
        <row r="24">
          <cell r="D24">
            <v>2365</v>
          </cell>
        </row>
        <row r="25">
          <cell r="D25">
            <v>4213</v>
          </cell>
        </row>
        <row r="26">
          <cell r="D26">
            <v>2843</v>
          </cell>
        </row>
        <row r="27">
          <cell r="D27">
            <v>0</v>
          </cell>
        </row>
        <row r="28">
          <cell r="D28">
            <v>378</v>
          </cell>
        </row>
        <row r="30">
          <cell r="D30">
            <v>819</v>
          </cell>
        </row>
        <row r="31">
          <cell r="D31">
            <v>0</v>
          </cell>
        </row>
        <row r="32">
          <cell r="D32">
            <v>173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6">
          <cell r="F66">
            <v>0</v>
          </cell>
          <cell r="G66">
            <v>0</v>
          </cell>
          <cell r="H66">
            <v>0</v>
          </cell>
        </row>
        <row r="67">
          <cell r="F67">
            <v>96</v>
          </cell>
          <cell r="G67">
            <v>0</v>
          </cell>
          <cell r="H67">
            <v>0</v>
          </cell>
        </row>
        <row r="68">
          <cell r="F68">
            <v>10</v>
          </cell>
          <cell r="G68">
            <v>0</v>
          </cell>
          <cell r="H68">
            <v>0</v>
          </cell>
        </row>
        <row r="69">
          <cell r="F69">
            <v>2</v>
          </cell>
          <cell r="G69">
            <v>0</v>
          </cell>
          <cell r="H69">
            <v>0</v>
          </cell>
        </row>
        <row r="70">
          <cell r="F70">
            <v>94</v>
          </cell>
          <cell r="G70">
            <v>1</v>
          </cell>
          <cell r="H70">
            <v>0</v>
          </cell>
        </row>
        <row r="71">
          <cell r="F71">
            <v>103</v>
          </cell>
          <cell r="G71">
            <v>1</v>
          </cell>
          <cell r="H71">
            <v>0</v>
          </cell>
        </row>
        <row r="72">
          <cell r="F72">
            <v>2</v>
          </cell>
          <cell r="G72">
            <v>1</v>
          </cell>
          <cell r="H72">
            <v>0</v>
          </cell>
        </row>
        <row r="73">
          <cell r="F73">
            <v>5</v>
          </cell>
          <cell r="G73">
            <v>3</v>
          </cell>
          <cell r="H73">
            <v>0</v>
          </cell>
        </row>
        <row r="74">
          <cell r="F74">
            <v>155</v>
          </cell>
          <cell r="G74">
            <v>18</v>
          </cell>
          <cell r="H74">
            <v>0</v>
          </cell>
        </row>
        <row r="75">
          <cell r="F75">
            <v>9</v>
          </cell>
          <cell r="G75">
            <v>0</v>
          </cell>
          <cell r="H75">
            <v>0</v>
          </cell>
        </row>
        <row r="76">
          <cell r="F76">
            <v>17</v>
          </cell>
          <cell r="G76">
            <v>2</v>
          </cell>
          <cell r="H76">
            <v>0</v>
          </cell>
        </row>
        <row r="77">
          <cell r="F77">
            <v>7</v>
          </cell>
          <cell r="G77">
            <v>0</v>
          </cell>
          <cell r="H77">
            <v>0</v>
          </cell>
        </row>
        <row r="78">
          <cell r="F78">
            <v>37</v>
          </cell>
          <cell r="G78">
            <v>4</v>
          </cell>
          <cell r="H78">
            <v>0</v>
          </cell>
        </row>
        <row r="79">
          <cell r="F79">
            <v>68</v>
          </cell>
          <cell r="G79">
            <v>0</v>
          </cell>
          <cell r="H79">
            <v>0</v>
          </cell>
        </row>
        <row r="80">
          <cell r="F80">
            <v>45</v>
          </cell>
          <cell r="G80">
            <v>4</v>
          </cell>
          <cell r="H80">
            <v>0</v>
          </cell>
        </row>
        <row r="120">
          <cell r="E120">
            <v>1205</v>
          </cell>
        </row>
      </sheetData>
      <sheetData sheetId="3">
        <row r="13">
          <cell r="U13">
            <v>3830</v>
          </cell>
          <cell r="V13">
            <v>0</v>
          </cell>
        </row>
        <row r="14">
          <cell r="U14">
            <v>4820</v>
          </cell>
          <cell r="V14">
            <v>0</v>
          </cell>
        </row>
        <row r="15">
          <cell r="D15">
            <v>8954</v>
          </cell>
          <cell r="U15">
            <v>10320</v>
          </cell>
          <cell r="V15">
            <v>92405280</v>
          </cell>
        </row>
        <row r="16">
          <cell r="U16">
            <v>6170</v>
          </cell>
          <cell r="V16">
            <v>0</v>
          </cell>
        </row>
        <row r="17">
          <cell r="U17">
            <v>6770</v>
          </cell>
          <cell r="V17">
            <v>0</v>
          </cell>
        </row>
        <row r="18">
          <cell r="U18">
            <v>12950</v>
          </cell>
          <cell r="V18">
            <v>0</v>
          </cell>
        </row>
        <row r="19">
          <cell r="D19">
            <v>71</v>
          </cell>
          <cell r="U19">
            <v>12950</v>
          </cell>
          <cell r="V19">
            <v>919450</v>
          </cell>
        </row>
        <row r="20">
          <cell r="U20">
            <v>5210</v>
          </cell>
          <cell r="V20">
            <v>0</v>
          </cell>
        </row>
        <row r="21">
          <cell r="U21">
            <v>6250</v>
          </cell>
          <cell r="V21">
            <v>0</v>
          </cell>
        </row>
        <row r="22">
          <cell r="U22">
            <v>7760</v>
          </cell>
          <cell r="V22">
            <v>0</v>
          </cell>
        </row>
        <row r="23">
          <cell r="D23">
            <v>1320</v>
          </cell>
          <cell r="U23">
            <v>5210</v>
          </cell>
          <cell r="V23">
            <v>6877200</v>
          </cell>
        </row>
        <row r="24">
          <cell r="D24">
            <v>581</v>
          </cell>
          <cell r="U24">
            <v>6250</v>
          </cell>
          <cell r="V24">
            <v>3631250</v>
          </cell>
        </row>
        <row r="25">
          <cell r="D25">
            <v>1834</v>
          </cell>
          <cell r="U25">
            <v>7760</v>
          </cell>
          <cell r="V25">
            <v>14231840</v>
          </cell>
        </row>
        <row r="27">
          <cell r="D27">
            <v>1434</v>
          </cell>
          <cell r="U27">
            <v>1020</v>
          </cell>
          <cell r="V27">
            <v>1462680</v>
          </cell>
        </row>
        <row r="28">
          <cell r="U28">
            <v>1740</v>
          </cell>
          <cell r="V28">
            <v>0</v>
          </cell>
        </row>
        <row r="29">
          <cell r="U29">
            <v>550</v>
          </cell>
          <cell r="V29">
            <v>0</v>
          </cell>
        </row>
        <row r="30">
          <cell r="D30">
            <v>33</v>
          </cell>
          <cell r="U30">
            <v>1380</v>
          </cell>
          <cell r="V30">
            <v>45540</v>
          </cell>
        </row>
        <row r="31">
          <cell r="D31">
            <v>1061</v>
          </cell>
          <cell r="U31">
            <v>1110</v>
          </cell>
          <cell r="V31">
            <v>1177710</v>
          </cell>
        </row>
        <row r="32">
          <cell r="U32">
            <v>1020</v>
          </cell>
          <cell r="V32">
            <v>0</v>
          </cell>
        </row>
        <row r="34">
          <cell r="U34">
            <v>3340</v>
          </cell>
          <cell r="V34">
            <v>0</v>
          </cell>
        </row>
        <row r="35">
          <cell r="D35">
            <v>560</v>
          </cell>
          <cell r="U35">
            <v>1840</v>
          </cell>
          <cell r="V35">
            <v>1030400</v>
          </cell>
        </row>
        <row r="36">
          <cell r="D36">
            <v>2</v>
          </cell>
          <cell r="U36">
            <v>1840</v>
          </cell>
          <cell r="V36">
            <v>3680</v>
          </cell>
        </row>
        <row r="37">
          <cell r="D37">
            <v>577</v>
          </cell>
          <cell r="U37">
            <v>550</v>
          </cell>
          <cell r="V37">
            <v>317350</v>
          </cell>
        </row>
        <row r="39">
          <cell r="U39">
            <v>1590</v>
          </cell>
          <cell r="V39">
            <v>0</v>
          </cell>
        </row>
        <row r="40">
          <cell r="D40">
            <v>11</v>
          </cell>
          <cell r="U40">
            <v>1590</v>
          </cell>
          <cell r="V40">
            <v>17490</v>
          </cell>
        </row>
        <row r="41">
          <cell r="U41">
            <v>910</v>
          </cell>
          <cell r="V41">
            <v>0</v>
          </cell>
        </row>
        <row r="43">
          <cell r="D43">
            <v>3083</v>
          </cell>
          <cell r="U43">
            <v>700</v>
          </cell>
          <cell r="V43">
            <v>2158100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1240</v>
          </cell>
          <cell r="V47">
            <v>0</v>
          </cell>
        </row>
        <row r="48">
          <cell r="D48">
            <v>463</v>
          </cell>
          <cell r="U48">
            <v>600</v>
          </cell>
          <cell r="V48">
            <v>277800</v>
          </cell>
        </row>
        <row r="49">
          <cell r="D49">
            <v>720</v>
          </cell>
          <cell r="U49">
            <v>1840</v>
          </cell>
          <cell r="V49">
            <v>1324800</v>
          </cell>
        </row>
        <row r="50">
          <cell r="D50">
            <v>43</v>
          </cell>
          <cell r="U50">
            <v>13790</v>
          </cell>
          <cell r="V50">
            <v>592970</v>
          </cell>
        </row>
        <row r="51">
          <cell r="D51">
            <v>59</v>
          </cell>
          <cell r="U51">
            <v>31670</v>
          </cell>
          <cell r="V51">
            <v>1868530</v>
          </cell>
        </row>
        <row r="52">
          <cell r="D52">
            <v>18</v>
          </cell>
          <cell r="V52">
            <v>142200</v>
          </cell>
        </row>
        <row r="59">
          <cell r="D59">
            <v>5007</v>
          </cell>
          <cell r="U59">
            <v>30310</v>
          </cell>
          <cell r="V59">
            <v>151762170</v>
          </cell>
        </row>
        <row r="60">
          <cell r="U60">
            <v>27900</v>
          </cell>
          <cell r="V60">
            <v>0</v>
          </cell>
        </row>
        <row r="61">
          <cell r="U61">
            <v>23260</v>
          </cell>
          <cell r="V61">
            <v>0</v>
          </cell>
        </row>
        <row r="62">
          <cell r="U62">
            <v>126000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182</v>
          </cell>
          <cell r="U65">
            <v>60860</v>
          </cell>
          <cell r="V65">
            <v>11076520</v>
          </cell>
        </row>
        <row r="66">
          <cell r="D66">
            <v>100</v>
          </cell>
          <cell r="V66">
            <v>6086000</v>
          </cell>
        </row>
        <row r="67">
          <cell r="V67">
            <v>0</v>
          </cell>
        </row>
        <row r="68">
          <cell r="D68">
            <v>107</v>
          </cell>
          <cell r="U68">
            <v>54600</v>
          </cell>
          <cell r="V68">
            <v>5842200</v>
          </cell>
        </row>
        <row r="69">
          <cell r="U69">
            <v>15500</v>
          </cell>
          <cell r="V69">
            <v>0</v>
          </cell>
        </row>
        <row r="70">
          <cell r="U70">
            <v>24280</v>
          </cell>
          <cell r="V70">
            <v>0</v>
          </cell>
        </row>
        <row r="71">
          <cell r="U71">
            <v>25270</v>
          </cell>
          <cell r="V71">
            <v>0</v>
          </cell>
        </row>
        <row r="72">
          <cell r="U72">
            <v>10190</v>
          </cell>
          <cell r="V72">
            <v>0</v>
          </cell>
        </row>
        <row r="73">
          <cell r="U73">
            <v>24470</v>
          </cell>
          <cell r="V73">
            <v>0</v>
          </cell>
        </row>
        <row r="74">
          <cell r="U74">
            <v>10190</v>
          </cell>
          <cell r="V74">
            <v>0</v>
          </cell>
        </row>
        <row r="75">
          <cell r="D75">
            <v>8</v>
          </cell>
          <cell r="U75">
            <v>4490</v>
          </cell>
          <cell r="V75">
            <v>35920</v>
          </cell>
        </row>
        <row r="76">
          <cell r="U76">
            <v>30310</v>
          </cell>
          <cell r="V76">
            <v>0</v>
          </cell>
        </row>
        <row r="77">
          <cell r="U77">
            <v>81940</v>
          </cell>
          <cell r="V77">
            <v>0</v>
          </cell>
        </row>
        <row r="78">
          <cell r="U78">
            <v>9670</v>
          </cell>
          <cell r="V78">
            <v>0</v>
          </cell>
        </row>
        <row r="79">
          <cell r="D79">
            <v>46</v>
          </cell>
          <cell r="U79">
            <v>5880</v>
          </cell>
          <cell r="V79">
            <v>270480</v>
          </cell>
        </row>
        <row r="80">
          <cell r="U80">
            <v>42470</v>
          </cell>
          <cell r="V80">
            <v>0</v>
          </cell>
        </row>
        <row r="81">
          <cell r="U81">
            <v>7450</v>
          </cell>
          <cell r="V81">
            <v>0</v>
          </cell>
        </row>
        <row r="83">
          <cell r="V83">
            <v>17613010</v>
          </cell>
        </row>
        <row r="174">
          <cell r="V174">
            <v>21940200</v>
          </cell>
        </row>
        <row r="243">
          <cell r="V243">
            <v>3105550</v>
          </cell>
        </row>
        <row r="289">
          <cell r="V289">
            <v>0</v>
          </cell>
        </row>
        <row r="295">
          <cell r="V295">
            <v>4537980</v>
          </cell>
        </row>
        <row r="362">
          <cell r="V362">
            <v>7631640</v>
          </cell>
        </row>
        <row r="405">
          <cell r="V405">
            <v>186080</v>
          </cell>
        </row>
        <row r="428">
          <cell r="V428">
            <v>2056610</v>
          </cell>
        </row>
        <row r="446">
          <cell r="V446">
            <v>0</v>
          </cell>
        </row>
        <row r="456">
          <cell r="V456">
            <v>152310</v>
          </cell>
        </row>
        <row r="500">
          <cell r="V500">
            <v>2615380</v>
          </cell>
        </row>
        <row r="535">
          <cell r="V535">
            <v>20489770</v>
          </cell>
        </row>
        <row r="590">
          <cell r="V590">
            <v>0</v>
          </cell>
        </row>
        <row r="615">
          <cell r="V615">
            <v>17815510</v>
          </cell>
        </row>
        <row r="633">
          <cell r="V633">
            <v>13173970</v>
          </cell>
        </row>
        <row r="634">
          <cell r="V634">
            <v>0</v>
          </cell>
        </row>
        <row r="654">
          <cell r="V654">
            <v>0</v>
          </cell>
        </row>
        <row r="670">
          <cell r="V670">
            <v>0</v>
          </cell>
        </row>
        <row r="697">
          <cell r="V697">
            <v>0</v>
          </cell>
        </row>
        <row r="716">
          <cell r="V716">
            <v>0</v>
          </cell>
        </row>
        <row r="723">
          <cell r="V723">
            <v>0</v>
          </cell>
        </row>
        <row r="726">
          <cell r="V726">
            <v>0</v>
          </cell>
        </row>
        <row r="743">
          <cell r="V743">
            <v>0</v>
          </cell>
        </row>
        <row r="760">
          <cell r="V760">
            <v>0</v>
          </cell>
        </row>
        <row r="764">
          <cell r="D764">
            <v>346</v>
          </cell>
          <cell r="V764">
            <v>2210090</v>
          </cell>
        </row>
        <row r="779">
          <cell r="V779">
            <v>0</v>
          </cell>
        </row>
        <row r="791">
          <cell r="D791">
            <v>162</v>
          </cell>
          <cell r="U791">
            <v>6330</v>
          </cell>
          <cell r="V791">
            <v>1025460</v>
          </cell>
        </row>
        <row r="792">
          <cell r="U792">
            <v>2480</v>
          </cell>
          <cell r="V792">
            <v>0</v>
          </cell>
        </row>
        <row r="793">
          <cell r="D793">
            <v>582</v>
          </cell>
          <cell r="U793">
            <v>2480</v>
          </cell>
          <cell r="V793">
            <v>1443360</v>
          </cell>
        </row>
        <row r="794">
          <cell r="D794">
            <v>1</v>
          </cell>
          <cell r="U794">
            <v>9880</v>
          </cell>
          <cell r="V794">
            <v>9880</v>
          </cell>
        </row>
        <row r="795">
          <cell r="D795">
            <v>20</v>
          </cell>
          <cell r="U795">
            <v>11570</v>
          </cell>
          <cell r="V795">
            <v>231400</v>
          </cell>
        </row>
        <row r="796">
          <cell r="U796">
            <v>26240</v>
          </cell>
          <cell r="V796">
            <v>0</v>
          </cell>
        </row>
        <row r="797">
          <cell r="U797">
            <v>2882</v>
          </cell>
          <cell r="V797">
            <v>0</v>
          </cell>
        </row>
        <row r="798">
          <cell r="U798">
            <v>6766</v>
          </cell>
          <cell r="V798">
            <v>0</v>
          </cell>
        </row>
        <row r="801">
          <cell r="U801">
            <v>13080</v>
          </cell>
          <cell r="V801">
            <v>0</v>
          </cell>
        </row>
        <row r="802">
          <cell r="D802">
            <v>9</v>
          </cell>
          <cell r="U802">
            <v>10470</v>
          </cell>
          <cell r="V802">
            <v>94230</v>
          </cell>
        </row>
        <row r="803">
          <cell r="U803">
            <v>355150</v>
          </cell>
          <cell r="V803">
            <v>0</v>
          </cell>
        </row>
        <row r="807">
          <cell r="V807">
            <v>0</v>
          </cell>
        </row>
        <row r="878">
          <cell r="V878">
            <v>36409580</v>
          </cell>
        </row>
        <row r="957">
          <cell r="V957">
            <v>734700</v>
          </cell>
        </row>
        <row r="1032">
          <cell r="U1032">
            <v>8370</v>
          </cell>
          <cell r="V1032">
            <v>0</v>
          </cell>
        </row>
        <row r="1033">
          <cell r="V1033">
            <v>213500</v>
          </cell>
        </row>
        <row r="1094">
          <cell r="V1094">
            <v>5296775</v>
          </cell>
        </row>
        <row r="1162">
          <cell r="V1162">
            <v>2215165</v>
          </cell>
        </row>
        <row r="1186">
          <cell r="D1186">
            <v>683</v>
          </cell>
          <cell r="U1186">
            <v>4480</v>
          </cell>
          <cell r="V1186">
            <v>3059840</v>
          </cell>
        </row>
        <row r="1187">
          <cell r="D1187">
            <v>9</v>
          </cell>
          <cell r="U1187">
            <v>12640</v>
          </cell>
          <cell r="V1187">
            <v>113760</v>
          </cell>
        </row>
        <row r="1188">
          <cell r="D1188">
            <v>11</v>
          </cell>
          <cell r="U1188">
            <v>21430</v>
          </cell>
          <cell r="V1188">
            <v>235730</v>
          </cell>
        </row>
        <row r="1189">
          <cell r="U1189">
            <v>40910</v>
          </cell>
          <cell r="V1189">
            <v>0</v>
          </cell>
        </row>
        <row r="1190">
          <cell r="D1190">
            <v>66</v>
          </cell>
          <cell r="U1190">
            <v>45600</v>
          </cell>
          <cell r="V1190">
            <v>3009600</v>
          </cell>
        </row>
        <row r="1191">
          <cell r="U1191">
            <v>25580</v>
          </cell>
          <cell r="V1191">
            <v>0</v>
          </cell>
        </row>
        <row r="1192">
          <cell r="U1192">
            <v>197910</v>
          </cell>
          <cell r="V1192">
            <v>0</v>
          </cell>
        </row>
        <row r="1193">
          <cell r="U1193">
            <v>224990</v>
          </cell>
          <cell r="V1193">
            <v>0</v>
          </cell>
        </row>
        <row r="1194">
          <cell r="U1194">
            <v>183470</v>
          </cell>
          <cell r="V1194">
            <v>0</v>
          </cell>
        </row>
        <row r="1195">
          <cell r="U1195">
            <v>235660</v>
          </cell>
          <cell r="V1195">
            <v>0</v>
          </cell>
        </row>
        <row r="1196">
          <cell r="U1196">
            <v>241140</v>
          </cell>
          <cell r="V1196">
            <v>0</v>
          </cell>
        </row>
        <row r="1197">
          <cell r="U1197">
            <v>203920</v>
          </cell>
          <cell r="V1197">
            <v>0</v>
          </cell>
        </row>
        <row r="1198">
          <cell r="U1198">
            <v>217670</v>
          </cell>
          <cell r="V1198">
            <v>0</v>
          </cell>
        </row>
        <row r="1199">
          <cell r="U1199">
            <v>260270</v>
          </cell>
          <cell r="V1199">
            <v>0</v>
          </cell>
        </row>
        <row r="1200">
          <cell r="U1200">
            <v>230810</v>
          </cell>
          <cell r="V1200">
            <v>0</v>
          </cell>
        </row>
        <row r="1201">
          <cell r="U1201">
            <v>1689070</v>
          </cell>
          <cell r="V1201">
            <v>0</v>
          </cell>
        </row>
        <row r="1202">
          <cell r="U1202">
            <v>1054990</v>
          </cell>
          <cell r="V1202">
            <v>0</v>
          </cell>
        </row>
        <row r="1203">
          <cell r="U1203">
            <v>1021110</v>
          </cell>
          <cell r="V1203">
            <v>0</v>
          </cell>
        </row>
        <row r="1204">
          <cell r="U1204">
            <v>1069740</v>
          </cell>
          <cell r="V1204">
            <v>0</v>
          </cell>
        </row>
        <row r="1205">
          <cell r="U1205">
            <v>151380</v>
          </cell>
          <cell r="V1205">
            <v>0</v>
          </cell>
        </row>
        <row r="1206">
          <cell r="U1206">
            <v>345440</v>
          </cell>
          <cell r="V1206">
            <v>0</v>
          </cell>
        </row>
        <row r="1207">
          <cell r="U1207">
            <v>128060</v>
          </cell>
          <cell r="V1207">
            <v>0</v>
          </cell>
        </row>
        <row r="1208">
          <cell r="U1208">
            <v>1037610</v>
          </cell>
          <cell r="V1208">
            <v>0</v>
          </cell>
        </row>
        <row r="1209">
          <cell r="U1209">
            <v>1037610</v>
          </cell>
          <cell r="V1209">
            <v>0</v>
          </cell>
        </row>
        <row r="1210">
          <cell r="V1210">
            <v>551405</v>
          </cell>
        </row>
        <row r="1276">
          <cell r="V1276">
            <v>739885</v>
          </cell>
        </row>
        <row r="1343">
          <cell r="D1343">
            <v>18</v>
          </cell>
          <cell r="U1343">
            <v>30950</v>
          </cell>
          <cell r="V1343">
            <v>557100</v>
          </cell>
        </row>
        <row r="1344">
          <cell r="U1344">
            <v>37330</v>
          </cell>
          <cell r="V1344">
            <v>0</v>
          </cell>
        </row>
        <row r="1345">
          <cell r="D1345">
            <v>2</v>
          </cell>
          <cell r="U1345">
            <v>39760</v>
          </cell>
          <cell r="V1345">
            <v>79520</v>
          </cell>
        </row>
        <row r="1346">
          <cell r="V1346">
            <v>38677835</v>
          </cell>
        </row>
        <row r="1430">
          <cell r="V1430">
            <v>663270</v>
          </cell>
        </row>
        <row r="1470">
          <cell r="U1470">
            <v>38160</v>
          </cell>
          <cell r="V1470">
            <v>0</v>
          </cell>
        </row>
        <row r="1471">
          <cell r="U1471">
            <v>24000</v>
          </cell>
          <cell r="V1471">
            <v>0</v>
          </cell>
        </row>
        <row r="1472">
          <cell r="U1472">
            <v>24000</v>
          </cell>
          <cell r="V1472">
            <v>0</v>
          </cell>
        </row>
        <row r="1473">
          <cell r="U1473">
            <v>726900</v>
          </cell>
          <cell r="V1473">
            <v>0</v>
          </cell>
        </row>
        <row r="1474">
          <cell r="U1474">
            <v>515080</v>
          </cell>
          <cell r="V1474">
            <v>0</v>
          </cell>
        </row>
        <row r="1475">
          <cell r="U1475">
            <v>43850</v>
          </cell>
          <cell r="V1475">
            <v>0</v>
          </cell>
        </row>
        <row r="1476">
          <cell r="U1476">
            <v>591930</v>
          </cell>
          <cell r="V1476">
            <v>0</v>
          </cell>
        </row>
        <row r="1477">
          <cell r="V1477">
            <v>2741150</v>
          </cell>
        </row>
        <row r="1562">
          <cell r="V1562">
            <v>9738070</v>
          </cell>
        </row>
        <row r="1580">
          <cell r="V1580">
            <v>1624340</v>
          </cell>
        </row>
        <row r="1585">
          <cell r="V1585">
            <v>6236075</v>
          </cell>
        </row>
        <row r="1619">
          <cell r="V1619">
            <v>7526440</v>
          </cell>
        </row>
        <row r="1620">
          <cell r="V1620">
            <v>0</v>
          </cell>
        </row>
        <row r="1621">
          <cell r="D1621">
            <v>22</v>
          </cell>
          <cell r="V1621">
            <v>1968120</v>
          </cell>
        </row>
        <row r="1622">
          <cell r="D1622">
            <v>45</v>
          </cell>
          <cell r="V1622">
            <v>5325750</v>
          </cell>
        </row>
        <row r="1623">
          <cell r="D1623">
            <v>1</v>
          </cell>
          <cell r="V1623">
            <v>232570</v>
          </cell>
        </row>
        <row r="1624">
          <cell r="D1624">
            <v>87</v>
          </cell>
          <cell r="U1624">
            <v>118340</v>
          </cell>
          <cell r="V1624">
            <v>10295580</v>
          </cell>
        </row>
        <row r="1625">
          <cell r="D1625">
            <v>3</v>
          </cell>
          <cell r="U1625">
            <v>124520</v>
          </cell>
          <cell r="V1625">
            <v>373560</v>
          </cell>
        </row>
        <row r="1627">
          <cell r="V1627">
            <v>7494175</v>
          </cell>
        </row>
        <row r="1833">
          <cell r="D1833">
            <v>0</v>
          </cell>
          <cell r="F1833">
            <v>0</v>
          </cell>
          <cell r="G1833">
            <v>0</v>
          </cell>
          <cell r="V1833">
            <v>0</v>
          </cell>
        </row>
        <row r="1837">
          <cell r="D1837">
            <v>23</v>
          </cell>
          <cell r="V1837">
            <v>1415490</v>
          </cell>
        </row>
        <row r="1849">
          <cell r="D1849">
            <v>38</v>
          </cell>
          <cell r="U1849">
            <v>25670</v>
          </cell>
          <cell r="V1849">
            <v>975460</v>
          </cell>
        </row>
        <row r="1851">
          <cell r="D1851">
            <v>256</v>
          </cell>
          <cell r="U1851">
            <v>16920</v>
          </cell>
          <cell r="V1851">
            <v>4331520</v>
          </cell>
        </row>
        <row r="1852">
          <cell r="D1852">
            <v>178</v>
          </cell>
          <cell r="U1852">
            <v>53200</v>
          </cell>
          <cell r="V1852">
            <v>9469600</v>
          </cell>
        </row>
        <row r="1853">
          <cell r="U1853">
            <v>65950</v>
          </cell>
          <cell r="V1853">
            <v>0</v>
          </cell>
        </row>
        <row r="1854">
          <cell r="D1854">
            <v>178</v>
          </cell>
          <cell r="U1854">
            <v>2320</v>
          </cell>
          <cell r="V1854">
            <v>412960</v>
          </cell>
        </row>
        <row r="1855">
          <cell r="U1855">
            <v>70</v>
          </cell>
          <cell r="V1855">
            <v>0</v>
          </cell>
        </row>
        <row r="1856">
          <cell r="U1856">
            <v>140030</v>
          </cell>
          <cell r="V1856">
            <v>0</v>
          </cell>
        </row>
        <row r="1857">
          <cell r="U1857">
            <v>9520</v>
          </cell>
          <cell r="V1857">
            <v>0</v>
          </cell>
        </row>
        <row r="1859">
          <cell r="V1859">
            <v>3954240</v>
          </cell>
        </row>
        <row r="1876">
          <cell r="V1876">
            <v>5120480</v>
          </cell>
        </row>
        <row r="1895">
          <cell r="V1895">
            <v>1949820</v>
          </cell>
        </row>
        <row r="1920">
          <cell r="D1920">
            <v>481</v>
          </cell>
          <cell r="U1920">
            <v>17720</v>
          </cell>
          <cell r="V1920">
            <v>8523320</v>
          </cell>
        </row>
        <row r="1921">
          <cell r="U1921">
            <v>222170</v>
          </cell>
          <cell r="V1921">
            <v>0</v>
          </cell>
        </row>
        <row r="1923">
          <cell r="U1923">
            <v>226920</v>
          </cell>
          <cell r="V1923">
            <v>0</v>
          </cell>
        </row>
        <row r="1924">
          <cell r="U1924">
            <v>32250</v>
          </cell>
          <cell r="V1924">
            <v>0</v>
          </cell>
        </row>
        <row r="1925">
          <cell r="U1925">
            <v>121620</v>
          </cell>
          <cell r="V1925">
            <v>0</v>
          </cell>
        </row>
        <row r="1926">
          <cell r="U1926">
            <v>121620</v>
          </cell>
          <cell r="V1926">
            <v>0</v>
          </cell>
        </row>
        <row r="1927">
          <cell r="U1927">
            <v>221430</v>
          </cell>
          <cell r="V1927">
            <v>0</v>
          </cell>
        </row>
        <row r="1928">
          <cell r="U1928">
            <v>339820</v>
          </cell>
          <cell r="V1928">
            <v>0</v>
          </cell>
        </row>
        <row r="1929">
          <cell r="U1929">
            <v>579700</v>
          </cell>
          <cell r="V1929">
            <v>0</v>
          </cell>
        </row>
        <row r="1930">
          <cell r="U1930">
            <v>120740</v>
          </cell>
          <cell r="V1930">
            <v>0</v>
          </cell>
        </row>
        <row r="1931">
          <cell r="U1931">
            <v>325420</v>
          </cell>
          <cell r="V1931">
            <v>0</v>
          </cell>
        </row>
        <row r="1932">
          <cell r="U1932">
            <v>137020</v>
          </cell>
          <cell r="V1932">
            <v>0</v>
          </cell>
        </row>
        <row r="1933">
          <cell r="U1933">
            <v>119070</v>
          </cell>
          <cell r="V1933">
            <v>0</v>
          </cell>
        </row>
        <row r="1934">
          <cell r="U1934">
            <v>181020</v>
          </cell>
          <cell r="V1934">
            <v>0</v>
          </cell>
        </row>
        <row r="1935">
          <cell r="U1935">
            <v>47640</v>
          </cell>
          <cell r="V1935">
            <v>0</v>
          </cell>
        </row>
        <row r="1936">
          <cell r="U1936">
            <v>35600</v>
          </cell>
          <cell r="V1936">
            <v>0</v>
          </cell>
        </row>
        <row r="1937">
          <cell r="U1937">
            <v>195210</v>
          </cell>
          <cell r="V1937">
            <v>0</v>
          </cell>
        </row>
        <row r="1938">
          <cell r="U1938">
            <v>1161300</v>
          </cell>
          <cell r="V1938">
            <v>0</v>
          </cell>
        </row>
        <row r="1939">
          <cell r="U1939">
            <v>175210</v>
          </cell>
          <cell r="V1939">
            <v>0</v>
          </cell>
        </row>
        <row r="1940">
          <cell r="U1940">
            <v>154940</v>
          </cell>
          <cell r="V1940">
            <v>0</v>
          </cell>
        </row>
        <row r="1941">
          <cell r="U1941">
            <v>314530</v>
          </cell>
          <cell r="V1941">
            <v>0</v>
          </cell>
        </row>
        <row r="1942">
          <cell r="U1942">
            <v>1045930</v>
          </cell>
          <cell r="V1942">
            <v>0</v>
          </cell>
        </row>
        <row r="1943">
          <cell r="U1943">
            <v>1074870</v>
          </cell>
          <cell r="V1943">
            <v>0</v>
          </cell>
        </row>
        <row r="1944">
          <cell r="U1944">
            <v>851060</v>
          </cell>
          <cell r="V1944">
            <v>0</v>
          </cell>
        </row>
        <row r="1945">
          <cell r="U1945">
            <v>896940</v>
          </cell>
          <cell r="V1945">
            <v>0</v>
          </cell>
        </row>
        <row r="1946">
          <cell r="U1946">
            <v>353830</v>
          </cell>
          <cell r="V1946">
            <v>0</v>
          </cell>
        </row>
        <row r="1947">
          <cell r="U1947">
            <v>84740</v>
          </cell>
          <cell r="V1947">
            <v>0</v>
          </cell>
        </row>
        <row r="1948">
          <cell r="U1948">
            <v>252810</v>
          </cell>
          <cell r="V1948">
            <v>0</v>
          </cell>
        </row>
        <row r="1949">
          <cell r="U1949">
            <v>71480</v>
          </cell>
          <cell r="V1949">
            <v>0</v>
          </cell>
        </row>
        <row r="1950">
          <cell r="U1950">
            <v>1228260</v>
          </cell>
          <cell r="V1950">
            <v>0</v>
          </cell>
        </row>
        <row r="1951">
          <cell r="U1951">
            <v>287200</v>
          </cell>
          <cell r="V1951">
            <v>0</v>
          </cell>
        </row>
        <row r="1952">
          <cell r="U1952">
            <v>962120</v>
          </cell>
          <cell r="V1952">
            <v>0</v>
          </cell>
        </row>
        <row r="1953">
          <cell r="U1953">
            <v>589010</v>
          </cell>
          <cell r="V1953">
            <v>0</v>
          </cell>
        </row>
        <row r="1954">
          <cell r="U1954">
            <v>480670</v>
          </cell>
          <cell r="V1954">
            <v>0</v>
          </cell>
        </row>
        <row r="1955">
          <cell r="U1955">
            <v>259110</v>
          </cell>
          <cell r="V1955">
            <v>0</v>
          </cell>
        </row>
        <row r="1956">
          <cell r="U1956">
            <v>151070</v>
          </cell>
          <cell r="V1956">
            <v>0</v>
          </cell>
        </row>
        <row r="1957">
          <cell r="U1957">
            <v>365020</v>
          </cell>
          <cell r="V1957">
            <v>0</v>
          </cell>
        </row>
        <row r="1958">
          <cell r="U1958">
            <v>378270</v>
          </cell>
          <cell r="V1958">
            <v>0</v>
          </cell>
        </row>
        <row r="1959">
          <cell r="U1959">
            <v>236360</v>
          </cell>
          <cell r="V1959">
            <v>0</v>
          </cell>
        </row>
        <row r="1960">
          <cell r="D1960">
            <v>96</v>
          </cell>
          <cell r="U1960">
            <v>32140</v>
          </cell>
          <cell r="V1960">
            <v>3085440</v>
          </cell>
        </row>
        <row r="1962">
          <cell r="D1962">
            <v>6</v>
          </cell>
          <cell r="U1962">
            <v>6320</v>
          </cell>
          <cell r="V1962">
            <v>37920</v>
          </cell>
        </row>
        <row r="1963">
          <cell r="U1963">
            <v>3370</v>
          </cell>
          <cell r="V1963">
            <v>0</v>
          </cell>
        </row>
        <row r="1964">
          <cell r="D1964">
            <v>2</v>
          </cell>
          <cell r="U1964">
            <v>12690</v>
          </cell>
          <cell r="V1964">
            <v>25380</v>
          </cell>
        </row>
        <row r="1965">
          <cell r="U1965">
            <v>130140</v>
          </cell>
          <cell r="V1965">
            <v>0</v>
          </cell>
        </row>
        <row r="1966">
          <cell r="U1966">
            <v>714770</v>
          </cell>
          <cell r="V1966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2011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>SRA . MARIA INES NUÑEZ GONZALEZ</v>
          </cell>
        </row>
      </sheetData>
      <sheetData sheetId="1"/>
      <sheetData sheetId="2">
        <row r="12">
          <cell r="D12">
            <v>49086</v>
          </cell>
        </row>
        <row r="13">
          <cell r="D13">
            <v>19237</v>
          </cell>
        </row>
        <row r="14">
          <cell r="D14">
            <v>20817</v>
          </cell>
        </row>
        <row r="15">
          <cell r="D15">
            <v>1021</v>
          </cell>
        </row>
        <row r="16">
          <cell r="D16">
            <v>0</v>
          </cell>
        </row>
        <row r="17">
          <cell r="D17">
            <v>1137</v>
          </cell>
        </row>
        <row r="18">
          <cell r="D18">
            <v>4331</v>
          </cell>
        </row>
        <row r="19">
          <cell r="D19">
            <v>3663</v>
          </cell>
        </row>
        <row r="20">
          <cell r="D20">
            <v>88</v>
          </cell>
        </row>
        <row r="21">
          <cell r="D21">
            <v>580</v>
          </cell>
        </row>
        <row r="22">
          <cell r="D22">
            <v>0</v>
          </cell>
        </row>
        <row r="23">
          <cell r="D23">
            <v>50</v>
          </cell>
        </row>
        <row r="24">
          <cell r="D24">
            <v>2493</v>
          </cell>
        </row>
        <row r="25">
          <cell r="D25">
            <v>4121</v>
          </cell>
        </row>
        <row r="26">
          <cell r="D26">
            <v>2679</v>
          </cell>
        </row>
        <row r="27">
          <cell r="D27">
            <v>2</v>
          </cell>
        </row>
        <row r="28">
          <cell r="D28">
            <v>412</v>
          </cell>
        </row>
        <row r="30">
          <cell r="D30">
            <v>826</v>
          </cell>
        </row>
        <row r="31">
          <cell r="D31">
            <v>0</v>
          </cell>
        </row>
        <row r="32">
          <cell r="D32">
            <v>202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6">
          <cell r="F66">
            <v>0</v>
          </cell>
          <cell r="G66">
            <v>0</v>
          </cell>
          <cell r="H66">
            <v>0</v>
          </cell>
        </row>
        <row r="67">
          <cell r="F67">
            <v>92</v>
          </cell>
          <cell r="G67">
            <v>0</v>
          </cell>
          <cell r="H67">
            <v>0</v>
          </cell>
        </row>
        <row r="68">
          <cell r="F68">
            <v>9</v>
          </cell>
          <cell r="G68">
            <v>2</v>
          </cell>
          <cell r="H68">
            <v>0</v>
          </cell>
        </row>
        <row r="69">
          <cell r="F69">
            <v>5</v>
          </cell>
          <cell r="G69">
            <v>0</v>
          </cell>
          <cell r="H69">
            <v>0</v>
          </cell>
        </row>
        <row r="70">
          <cell r="F70">
            <v>101</v>
          </cell>
          <cell r="G70">
            <v>0</v>
          </cell>
          <cell r="H70">
            <v>0</v>
          </cell>
        </row>
        <row r="71">
          <cell r="F71">
            <v>128</v>
          </cell>
          <cell r="G71">
            <v>0</v>
          </cell>
          <cell r="H71">
            <v>0</v>
          </cell>
        </row>
        <row r="72">
          <cell r="F72">
            <v>3</v>
          </cell>
          <cell r="G72">
            <v>0</v>
          </cell>
          <cell r="H72">
            <v>0</v>
          </cell>
        </row>
        <row r="73">
          <cell r="F73">
            <v>4</v>
          </cell>
          <cell r="G73">
            <v>0</v>
          </cell>
          <cell r="H73">
            <v>0</v>
          </cell>
        </row>
        <row r="74">
          <cell r="F74">
            <v>160</v>
          </cell>
          <cell r="G74">
            <v>10</v>
          </cell>
          <cell r="H74">
            <v>0</v>
          </cell>
        </row>
        <row r="75">
          <cell r="F75">
            <v>7</v>
          </cell>
          <cell r="G75">
            <v>0</v>
          </cell>
          <cell r="H75">
            <v>0</v>
          </cell>
        </row>
        <row r="76">
          <cell r="F76">
            <v>12</v>
          </cell>
          <cell r="G76">
            <v>0</v>
          </cell>
          <cell r="H76">
            <v>0</v>
          </cell>
        </row>
        <row r="77">
          <cell r="F77">
            <v>7</v>
          </cell>
          <cell r="G77">
            <v>0</v>
          </cell>
          <cell r="H77">
            <v>0</v>
          </cell>
        </row>
        <row r="78">
          <cell r="F78">
            <v>39</v>
          </cell>
          <cell r="G78">
            <v>7</v>
          </cell>
          <cell r="H78">
            <v>0</v>
          </cell>
        </row>
        <row r="79">
          <cell r="F79">
            <v>59</v>
          </cell>
          <cell r="G79">
            <v>1</v>
          </cell>
          <cell r="H79">
            <v>0</v>
          </cell>
        </row>
        <row r="80">
          <cell r="F80">
            <v>33</v>
          </cell>
          <cell r="G80">
            <v>0</v>
          </cell>
          <cell r="H80">
            <v>0</v>
          </cell>
        </row>
        <row r="120">
          <cell r="E120">
            <v>1229</v>
          </cell>
        </row>
      </sheetData>
      <sheetData sheetId="3">
        <row r="13">
          <cell r="U13">
            <v>3830</v>
          </cell>
          <cell r="V13">
            <v>0</v>
          </cell>
        </row>
        <row r="14">
          <cell r="U14">
            <v>4820</v>
          </cell>
          <cell r="V14">
            <v>0</v>
          </cell>
        </row>
        <row r="15">
          <cell r="D15">
            <v>8829</v>
          </cell>
          <cell r="U15">
            <v>10320</v>
          </cell>
          <cell r="V15">
            <v>91115280</v>
          </cell>
        </row>
        <row r="16">
          <cell r="U16">
            <v>6170</v>
          </cell>
          <cell r="V16">
            <v>0</v>
          </cell>
        </row>
        <row r="17">
          <cell r="U17">
            <v>6770</v>
          </cell>
          <cell r="V17">
            <v>0</v>
          </cell>
        </row>
        <row r="18">
          <cell r="U18">
            <v>12950</v>
          </cell>
          <cell r="V18">
            <v>0</v>
          </cell>
        </row>
        <row r="19">
          <cell r="D19">
            <v>57</v>
          </cell>
          <cell r="U19">
            <v>12950</v>
          </cell>
          <cell r="V19">
            <v>738150</v>
          </cell>
        </row>
        <row r="20">
          <cell r="U20">
            <v>5210</v>
          </cell>
          <cell r="V20">
            <v>0</v>
          </cell>
        </row>
        <row r="21">
          <cell r="U21">
            <v>6250</v>
          </cell>
          <cell r="V21">
            <v>0</v>
          </cell>
        </row>
        <row r="22">
          <cell r="U22">
            <v>7760</v>
          </cell>
          <cell r="V22">
            <v>0</v>
          </cell>
        </row>
        <row r="23">
          <cell r="D23">
            <v>1700</v>
          </cell>
          <cell r="U23">
            <v>5210</v>
          </cell>
          <cell r="V23">
            <v>8857000</v>
          </cell>
        </row>
        <row r="24">
          <cell r="D24">
            <v>589</v>
          </cell>
          <cell r="U24">
            <v>6250</v>
          </cell>
          <cell r="V24">
            <v>3681250</v>
          </cell>
        </row>
        <row r="25">
          <cell r="D25">
            <v>2190</v>
          </cell>
          <cell r="U25">
            <v>7760</v>
          </cell>
          <cell r="V25">
            <v>16994400</v>
          </cell>
        </row>
        <row r="27">
          <cell r="D27">
            <v>1694</v>
          </cell>
          <cell r="U27">
            <v>1020</v>
          </cell>
          <cell r="V27">
            <v>1727880</v>
          </cell>
        </row>
        <row r="28">
          <cell r="U28">
            <v>1740</v>
          </cell>
          <cell r="V28">
            <v>0</v>
          </cell>
        </row>
        <row r="29">
          <cell r="U29">
            <v>550</v>
          </cell>
          <cell r="V29">
            <v>0</v>
          </cell>
        </row>
        <row r="30">
          <cell r="D30">
            <v>38</v>
          </cell>
          <cell r="U30">
            <v>1380</v>
          </cell>
          <cell r="V30">
            <v>52440</v>
          </cell>
        </row>
        <row r="31">
          <cell r="D31">
            <v>1186</v>
          </cell>
          <cell r="U31">
            <v>1110</v>
          </cell>
          <cell r="V31">
            <v>1316460</v>
          </cell>
        </row>
        <row r="32">
          <cell r="U32">
            <v>1020</v>
          </cell>
          <cell r="V32">
            <v>0</v>
          </cell>
        </row>
        <row r="34">
          <cell r="U34">
            <v>3340</v>
          </cell>
          <cell r="V34">
            <v>0</v>
          </cell>
        </row>
        <row r="35">
          <cell r="D35">
            <v>671</v>
          </cell>
          <cell r="U35">
            <v>1840</v>
          </cell>
          <cell r="V35">
            <v>1234640</v>
          </cell>
        </row>
        <row r="36">
          <cell r="U36">
            <v>1840</v>
          </cell>
          <cell r="V36">
            <v>0</v>
          </cell>
        </row>
        <row r="37">
          <cell r="D37">
            <v>294</v>
          </cell>
          <cell r="U37">
            <v>550</v>
          </cell>
          <cell r="V37">
            <v>161700</v>
          </cell>
        </row>
        <row r="39">
          <cell r="D39">
            <v>11</v>
          </cell>
          <cell r="U39">
            <v>1590</v>
          </cell>
          <cell r="V39">
            <v>17490</v>
          </cell>
        </row>
        <row r="40">
          <cell r="D40">
            <v>1</v>
          </cell>
          <cell r="U40">
            <v>1590</v>
          </cell>
          <cell r="V40">
            <v>1590</v>
          </cell>
        </row>
        <row r="41">
          <cell r="U41">
            <v>910</v>
          </cell>
          <cell r="V41">
            <v>0</v>
          </cell>
        </row>
        <row r="43">
          <cell r="D43">
            <v>4426</v>
          </cell>
          <cell r="U43">
            <v>700</v>
          </cell>
          <cell r="V43">
            <v>3098200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1240</v>
          </cell>
          <cell r="V47">
            <v>0</v>
          </cell>
        </row>
        <row r="48">
          <cell r="D48">
            <v>207</v>
          </cell>
          <cell r="U48">
            <v>600</v>
          </cell>
          <cell r="V48">
            <v>124200</v>
          </cell>
        </row>
        <row r="49">
          <cell r="D49">
            <v>784</v>
          </cell>
          <cell r="U49">
            <v>1840</v>
          </cell>
          <cell r="V49">
            <v>1442560</v>
          </cell>
        </row>
        <row r="50">
          <cell r="D50">
            <v>43</v>
          </cell>
          <cell r="U50">
            <v>13790</v>
          </cell>
          <cell r="V50">
            <v>592970</v>
          </cell>
        </row>
        <row r="51">
          <cell r="D51">
            <v>65</v>
          </cell>
          <cell r="U51">
            <v>31670</v>
          </cell>
          <cell r="V51">
            <v>2058550</v>
          </cell>
        </row>
        <row r="52">
          <cell r="D52">
            <v>15</v>
          </cell>
          <cell r="V52">
            <v>118500</v>
          </cell>
        </row>
        <row r="59">
          <cell r="D59">
            <v>5359</v>
          </cell>
          <cell r="U59">
            <v>30310</v>
          </cell>
          <cell r="V59">
            <v>162431290</v>
          </cell>
        </row>
        <row r="60">
          <cell r="U60">
            <v>27900</v>
          </cell>
          <cell r="V60">
            <v>0</v>
          </cell>
        </row>
        <row r="61">
          <cell r="U61">
            <v>23260</v>
          </cell>
          <cell r="V61">
            <v>0</v>
          </cell>
        </row>
        <row r="62">
          <cell r="U62">
            <v>126000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221</v>
          </cell>
          <cell r="U65">
            <v>60860</v>
          </cell>
          <cell r="V65">
            <v>13450060</v>
          </cell>
        </row>
        <row r="66">
          <cell r="D66">
            <v>63</v>
          </cell>
          <cell r="V66">
            <v>3834180</v>
          </cell>
        </row>
        <row r="67">
          <cell r="V67">
            <v>0</v>
          </cell>
        </row>
        <row r="68">
          <cell r="D68">
            <v>140</v>
          </cell>
          <cell r="U68">
            <v>54600</v>
          </cell>
          <cell r="V68">
            <v>7644000</v>
          </cell>
        </row>
        <row r="69">
          <cell r="U69">
            <v>15500</v>
          </cell>
          <cell r="V69">
            <v>0</v>
          </cell>
        </row>
        <row r="70">
          <cell r="U70">
            <v>24280</v>
          </cell>
          <cell r="V70">
            <v>0</v>
          </cell>
        </row>
        <row r="71">
          <cell r="U71">
            <v>25270</v>
          </cell>
          <cell r="V71">
            <v>0</v>
          </cell>
        </row>
        <row r="72">
          <cell r="U72">
            <v>10190</v>
          </cell>
          <cell r="V72">
            <v>0</v>
          </cell>
        </row>
        <row r="73">
          <cell r="U73">
            <v>24470</v>
          </cell>
          <cell r="V73">
            <v>0</v>
          </cell>
        </row>
        <row r="74">
          <cell r="U74">
            <v>10190</v>
          </cell>
          <cell r="V74">
            <v>0</v>
          </cell>
        </row>
        <row r="75">
          <cell r="D75">
            <v>11</v>
          </cell>
          <cell r="U75">
            <v>4490</v>
          </cell>
          <cell r="V75">
            <v>49390</v>
          </cell>
        </row>
        <row r="76">
          <cell r="U76">
            <v>30310</v>
          </cell>
          <cell r="V76">
            <v>0</v>
          </cell>
        </row>
        <row r="77">
          <cell r="U77">
            <v>81940</v>
          </cell>
          <cell r="V77">
            <v>0</v>
          </cell>
        </row>
        <row r="78">
          <cell r="U78">
            <v>9670</v>
          </cell>
          <cell r="V78">
            <v>0</v>
          </cell>
        </row>
        <row r="79">
          <cell r="D79">
            <v>28</v>
          </cell>
          <cell r="U79">
            <v>5880</v>
          </cell>
          <cell r="V79">
            <v>164640</v>
          </cell>
        </row>
        <row r="80">
          <cell r="U80">
            <v>42470</v>
          </cell>
          <cell r="V80">
            <v>0</v>
          </cell>
        </row>
        <row r="81">
          <cell r="U81">
            <v>7450</v>
          </cell>
          <cell r="V81">
            <v>0</v>
          </cell>
        </row>
        <row r="83">
          <cell r="V83">
            <v>19217360</v>
          </cell>
        </row>
        <row r="174">
          <cell r="V174">
            <v>22112750</v>
          </cell>
        </row>
        <row r="243">
          <cell r="V243">
            <v>3270790</v>
          </cell>
        </row>
        <row r="289">
          <cell r="V289">
            <v>0</v>
          </cell>
        </row>
        <row r="295">
          <cell r="V295">
            <v>4740390</v>
          </cell>
        </row>
        <row r="362">
          <cell r="V362">
            <v>7558430</v>
          </cell>
        </row>
        <row r="405">
          <cell r="V405">
            <v>204530</v>
          </cell>
        </row>
        <row r="428">
          <cell r="V428">
            <v>2183320</v>
          </cell>
        </row>
        <row r="446">
          <cell r="V446">
            <v>0</v>
          </cell>
        </row>
        <row r="456">
          <cell r="V456">
            <v>97480</v>
          </cell>
        </row>
        <row r="500">
          <cell r="V500">
            <v>2712660</v>
          </cell>
        </row>
        <row r="535">
          <cell r="V535">
            <v>19603550</v>
          </cell>
        </row>
        <row r="590">
          <cell r="V590">
            <v>42740</v>
          </cell>
        </row>
        <row r="615">
          <cell r="V615">
            <v>19236120</v>
          </cell>
        </row>
        <row r="633">
          <cell r="V633">
            <v>14028010</v>
          </cell>
        </row>
        <row r="634">
          <cell r="V634">
            <v>0</v>
          </cell>
        </row>
        <row r="654">
          <cell r="V654">
            <v>0</v>
          </cell>
        </row>
        <row r="670">
          <cell r="V670">
            <v>0</v>
          </cell>
        </row>
        <row r="697">
          <cell r="V697">
            <v>0</v>
          </cell>
        </row>
        <row r="716">
          <cell r="V716">
            <v>0</v>
          </cell>
        </row>
        <row r="723">
          <cell r="V723">
            <v>0</v>
          </cell>
        </row>
        <row r="726">
          <cell r="V726">
            <v>0</v>
          </cell>
        </row>
        <row r="743">
          <cell r="V743">
            <v>0</v>
          </cell>
        </row>
        <row r="760">
          <cell r="V760">
            <v>0</v>
          </cell>
        </row>
        <row r="764">
          <cell r="D764">
            <v>373</v>
          </cell>
          <cell r="V764">
            <v>2331340</v>
          </cell>
        </row>
        <row r="779">
          <cell r="V779">
            <v>0</v>
          </cell>
        </row>
        <row r="791">
          <cell r="D791">
            <v>158</v>
          </cell>
          <cell r="U791">
            <v>6330</v>
          </cell>
          <cell r="V791">
            <v>1000140</v>
          </cell>
        </row>
        <row r="792">
          <cell r="U792">
            <v>2480</v>
          </cell>
          <cell r="V792">
            <v>0</v>
          </cell>
        </row>
        <row r="793">
          <cell r="D793">
            <v>686</v>
          </cell>
          <cell r="U793">
            <v>2480</v>
          </cell>
          <cell r="V793">
            <v>1701280</v>
          </cell>
        </row>
        <row r="794">
          <cell r="U794">
            <v>9880</v>
          </cell>
          <cell r="V794">
            <v>0</v>
          </cell>
        </row>
        <row r="795">
          <cell r="D795">
            <v>10</v>
          </cell>
          <cell r="U795">
            <v>11570</v>
          </cell>
          <cell r="V795">
            <v>115700</v>
          </cell>
        </row>
        <row r="796">
          <cell r="U796">
            <v>26240</v>
          </cell>
          <cell r="V796">
            <v>0</v>
          </cell>
        </row>
        <row r="797">
          <cell r="U797">
            <v>2882</v>
          </cell>
          <cell r="V797">
            <v>0</v>
          </cell>
        </row>
        <row r="798">
          <cell r="U798">
            <v>6766</v>
          </cell>
          <cell r="V798">
            <v>0</v>
          </cell>
        </row>
        <row r="801">
          <cell r="U801">
            <v>13080</v>
          </cell>
          <cell r="V801">
            <v>0</v>
          </cell>
        </row>
        <row r="802">
          <cell r="D802">
            <v>11</v>
          </cell>
          <cell r="U802">
            <v>10470</v>
          </cell>
          <cell r="V802">
            <v>115170</v>
          </cell>
        </row>
        <row r="803">
          <cell r="U803">
            <v>355150</v>
          </cell>
          <cell r="V803">
            <v>0</v>
          </cell>
        </row>
        <row r="807">
          <cell r="V807">
            <v>0</v>
          </cell>
        </row>
        <row r="878">
          <cell r="V878">
            <v>30607740</v>
          </cell>
        </row>
        <row r="957">
          <cell r="V957">
            <v>853370</v>
          </cell>
        </row>
        <row r="1032">
          <cell r="D1032">
            <v>1</v>
          </cell>
          <cell r="U1032">
            <v>8370</v>
          </cell>
          <cell r="V1032">
            <v>8370</v>
          </cell>
        </row>
        <row r="1033">
          <cell r="V1033">
            <v>568430</v>
          </cell>
        </row>
        <row r="1094">
          <cell r="V1094">
            <v>4290140</v>
          </cell>
        </row>
        <row r="1162">
          <cell r="V1162">
            <v>2934640</v>
          </cell>
        </row>
        <row r="1186">
          <cell r="D1186">
            <v>648</v>
          </cell>
          <cell r="U1186">
            <v>4480</v>
          </cell>
          <cell r="V1186">
            <v>2903040</v>
          </cell>
        </row>
        <row r="1187">
          <cell r="D1187">
            <v>7</v>
          </cell>
          <cell r="U1187">
            <v>12640</v>
          </cell>
          <cell r="V1187">
            <v>88480</v>
          </cell>
        </row>
        <row r="1188">
          <cell r="D1188">
            <v>25</v>
          </cell>
          <cell r="U1188">
            <v>21430</v>
          </cell>
          <cell r="V1188">
            <v>535750</v>
          </cell>
        </row>
        <row r="1189">
          <cell r="U1189">
            <v>40910</v>
          </cell>
          <cell r="V1189">
            <v>0</v>
          </cell>
        </row>
        <row r="1190">
          <cell r="D1190">
            <v>56</v>
          </cell>
          <cell r="U1190">
            <v>45600</v>
          </cell>
          <cell r="V1190">
            <v>2553600</v>
          </cell>
        </row>
        <row r="1191">
          <cell r="U1191">
            <v>25580</v>
          </cell>
          <cell r="V1191">
            <v>0</v>
          </cell>
        </row>
        <row r="1192">
          <cell r="U1192">
            <v>197910</v>
          </cell>
          <cell r="V1192">
            <v>0</v>
          </cell>
        </row>
        <row r="1193">
          <cell r="U1193">
            <v>224990</v>
          </cell>
          <cell r="V1193">
            <v>0</v>
          </cell>
        </row>
        <row r="1194">
          <cell r="U1194">
            <v>183470</v>
          </cell>
          <cell r="V1194">
            <v>0</v>
          </cell>
        </row>
        <row r="1195">
          <cell r="U1195">
            <v>235660</v>
          </cell>
          <cell r="V1195">
            <v>0</v>
          </cell>
        </row>
        <row r="1196">
          <cell r="U1196">
            <v>241140</v>
          </cell>
          <cell r="V1196">
            <v>0</v>
          </cell>
        </row>
        <row r="1197">
          <cell r="U1197">
            <v>203920</v>
          </cell>
          <cell r="V1197">
            <v>0</v>
          </cell>
        </row>
        <row r="1198">
          <cell r="U1198">
            <v>217670</v>
          </cell>
          <cell r="V1198">
            <v>0</v>
          </cell>
        </row>
        <row r="1199">
          <cell r="U1199">
            <v>260270</v>
          </cell>
          <cell r="V1199">
            <v>0</v>
          </cell>
        </row>
        <row r="1200">
          <cell r="U1200">
            <v>230810</v>
          </cell>
          <cell r="V1200">
            <v>0</v>
          </cell>
        </row>
        <row r="1201">
          <cell r="U1201">
            <v>1689070</v>
          </cell>
          <cell r="V1201">
            <v>0</v>
          </cell>
        </row>
        <row r="1202">
          <cell r="U1202">
            <v>1054990</v>
          </cell>
          <cell r="V1202">
            <v>0</v>
          </cell>
        </row>
        <row r="1203">
          <cell r="U1203">
            <v>1021110</v>
          </cell>
          <cell r="V1203">
            <v>0</v>
          </cell>
        </row>
        <row r="1204">
          <cell r="U1204">
            <v>1069740</v>
          </cell>
          <cell r="V1204">
            <v>0</v>
          </cell>
        </row>
        <row r="1205">
          <cell r="U1205">
            <v>151380</v>
          </cell>
          <cell r="V1205">
            <v>0</v>
          </cell>
        </row>
        <row r="1206">
          <cell r="U1206">
            <v>345440</v>
          </cell>
          <cell r="V1206">
            <v>0</v>
          </cell>
        </row>
        <row r="1207">
          <cell r="U1207">
            <v>128060</v>
          </cell>
          <cell r="V1207">
            <v>0</v>
          </cell>
        </row>
        <row r="1208">
          <cell r="U1208">
            <v>1037610</v>
          </cell>
          <cell r="V1208">
            <v>0</v>
          </cell>
        </row>
        <row r="1209">
          <cell r="U1209">
            <v>1037610</v>
          </cell>
          <cell r="V1209">
            <v>0</v>
          </cell>
        </row>
        <row r="1210">
          <cell r="V1210">
            <v>300820</v>
          </cell>
        </row>
        <row r="1276">
          <cell r="V1276">
            <v>517090</v>
          </cell>
        </row>
        <row r="1343">
          <cell r="D1343">
            <v>14</v>
          </cell>
          <cell r="U1343">
            <v>30950</v>
          </cell>
          <cell r="V1343">
            <v>433300</v>
          </cell>
        </row>
        <row r="1344">
          <cell r="U1344">
            <v>37330</v>
          </cell>
          <cell r="V1344">
            <v>0</v>
          </cell>
        </row>
        <row r="1345">
          <cell r="D1345">
            <v>6</v>
          </cell>
          <cell r="U1345">
            <v>39760</v>
          </cell>
          <cell r="V1345">
            <v>238560</v>
          </cell>
        </row>
        <row r="1346">
          <cell r="V1346">
            <v>38337685</v>
          </cell>
        </row>
        <row r="1430">
          <cell r="V1430">
            <v>308800</v>
          </cell>
        </row>
        <row r="1470">
          <cell r="U1470">
            <v>38160</v>
          </cell>
          <cell r="V1470">
            <v>0</v>
          </cell>
        </row>
        <row r="1471">
          <cell r="U1471">
            <v>24000</v>
          </cell>
          <cell r="V1471">
            <v>0</v>
          </cell>
        </row>
        <row r="1472">
          <cell r="U1472">
            <v>24000</v>
          </cell>
          <cell r="V1472">
            <v>0</v>
          </cell>
        </row>
        <row r="1473">
          <cell r="U1473">
            <v>726900</v>
          </cell>
          <cell r="V1473">
            <v>0</v>
          </cell>
        </row>
        <row r="1474">
          <cell r="U1474">
            <v>515080</v>
          </cell>
          <cell r="V1474">
            <v>0</v>
          </cell>
        </row>
        <row r="1475">
          <cell r="U1475">
            <v>43850</v>
          </cell>
          <cell r="V1475">
            <v>0</v>
          </cell>
        </row>
        <row r="1476">
          <cell r="U1476">
            <v>591930</v>
          </cell>
          <cell r="V1476">
            <v>0</v>
          </cell>
        </row>
        <row r="1477">
          <cell r="V1477">
            <v>1963780</v>
          </cell>
        </row>
        <row r="1562">
          <cell r="V1562">
            <v>9509390</v>
          </cell>
        </row>
        <row r="1580">
          <cell r="V1580">
            <v>1488980</v>
          </cell>
        </row>
        <row r="1585">
          <cell r="V1585">
            <v>7463165</v>
          </cell>
        </row>
        <row r="1619">
          <cell r="V1619">
            <v>6507360</v>
          </cell>
        </row>
        <row r="1620">
          <cell r="V1620">
            <v>0</v>
          </cell>
        </row>
        <row r="1621">
          <cell r="D1621">
            <v>18</v>
          </cell>
          <cell r="F1621">
            <v>1</v>
          </cell>
          <cell r="V1621">
            <v>1655010</v>
          </cell>
        </row>
        <row r="1622">
          <cell r="D1622">
            <v>41</v>
          </cell>
          <cell r="V1622">
            <v>4852350</v>
          </cell>
        </row>
        <row r="1623">
          <cell r="V1623">
            <v>0</v>
          </cell>
        </row>
        <row r="1624">
          <cell r="D1624">
            <v>95</v>
          </cell>
          <cell r="U1624">
            <v>118340</v>
          </cell>
          <cell r="V1624">
            <v>11242300</v>
          </cell>
        </row>
        <row r="1625">
          <cell r="D1625">
            <v>2</v>
          </cell>
          <cell r="U1625">
            <v>124520</v>
          </cell>
          <cell r="V1625">
            <v>249040</v>
          </cell>
        </row>
        <row r="1627">
          <cell r="V1627">
            <v>5220790</v>
          </cell>
        </row>
        <row r="1833">
          <cell r="D1833">
            <v>6</v>
          </cell>
          <cell r="F1833">
            <v>0</v>
          </cell>
          <cell r="G1833">
            <v>0</v>
          </cell>
          <cell r="V1833">
            <v>296940</v>
          </cell>
        </row>
        <row r="1837">
          <cell r="D1837">
            <v>30</v>
          </cell>
          <cell r="V1837">
            <v>1818220</v>
          </cell>
        </row>
        <row r="1849">
          <cell r="D1849">
            <v>44</v>
          </cell>
          <cell r="U1849">
            <v>25670</v>
          </cell>
          <cell r="V1849">
            <v>1129480</v>
          </cell>
        </row>
        <row r="1851">
          <cell r="D1851">
            <v>259</v>
          </cell>
          <cell r="U1851">
            <v>16920</v>
          </cell>
          <cell r="V1851">
            <v>4382280</v>
          </cell>
        </row>
        <row r="1852">
          <cell r="D1852">
            <v>186</v>
          </cell>
          <cell r="U1852">
            <v>53200</v>
          </cell>
          <cell r="V1852">
            <v>9895200</v>
          </cell>
        </row>
        <row r="1853">
          <cell r="U1853">
            <v>65950</v>
          </cell>
          <cell r="V1853">
            <v>0</v>
          </cell>
        </row>
        <row r="1854">
          <cell r="D1854">
            <v>167</v>
          </cell>
          <cell r="U1854">
            <v>2320</v>
          </cell>
          <cell r="V1854">
            <v>387440</v>
          </cell>
        </row>
        <row r="1855">
          <cell r="U1855">
            <v>70</v>
          </cell>
          <cell r="V1855">
            <v>0</v>
          </cell>
        </row>
        <row r="1856">
          <cell r="U1856">
            <v>140030</v>
          </cell>
          <cell r="V1856">
            <v>0</v>
          </cell>
        </row>
        <row r="1857">
          <cell r="U1857">
            <v>9520</v>
          </cell>
          <cell r="V1857">
            <v>0</v>
          </cell>
        </row>
        <row r="1859">
          <cell r="V1859">
            <v>5097600</v>
          </cell>
        </row>
        <row r="1876">
          <cell r="V1876">
            <v>7748050</v>
          </cell>
        </row>
        <row r="1895">
          <cell r="V1895">
            <v>2304360</v>
          </cell>
        </row>
        <row r="1920">
          <cell r="D1920">
            <v>450</v>
          </cell>
          <cell r="U1920">
            <v>17720</v>
          </cell>
          <cell r="V1920">
            <v>7974000</v>
          </cell>
        </row>
        <row r="1921">
          <cell r="U1921">
            <v>222170</v>
          </cell>
          <cell r="V1921">
            <v>0</v>
          </cell>
        </row>
        <row r="1923">
          <cell r="U1923">
            <v>226920</v>
          </cell>
          <cell r="V1923">
            <v>0</v>
          </cell>
        </row>
        <row r="1924">
          <cell r="U1924">
            <v>32250</v>
          </cell>
          <cell r="V1924">
            <v>0</v>
          </cell>
        </row>
        <row r="1925">
          <cell r="U1925">
            <v>121620</v>
          </cell>
          <cell r="V1925">
            <v>0</v>
          </cell>
        </row>
        <row r="1926">
          <cell r="U1926">
            <v>121620</v>
          </cell>
          <cell r="V1926">
            <v>0</v>
          </cell>
        </row>
        <row r="1927">
          <cell r="U1927">
            <v>221430</v>
          </cell>
          <cell r="V1927">
            <v>0</v>
          </cell>
        </row>
        <row r="1928">
          <cell r="U1928">
            <v>339820</v>
          </cell>
          <cell r="V1928">
            <v>0</v>
          </cell>
        </row>
        <row r="1929">
          <cell r="U1929">
            <v>579700</v>
          </cell>
          <cell r="V1929">
            <v>0</v>
          </cell>
        </row>
        <row r="1930">
          <cell r="U1930">
            <v>120740</v>
          </cell>
          <cell r="V1930">
            <v>0</v>
          </cell>
        </row>
        <row r="1931">
          <cell r="U1931">
            <v>325420</v>
          </cell>
          <cell r="V1931">
            <v>0</v>
          </cell>
        </row>
        <row r="1932">
          <cell r="U1932">
            <v>137020</v>
          </cell>
          <cell r="V1932">
            <v>0</v>
          </cell>
        </row>
        <row r="1933">
          <cell r="U1933">
            <v>119070</v>
          </cell>
          <cell r="V1933">
            <v>0</v>
          </cell>
        </row>
        <row r="1934">
          <cell r="U1934">
            <v>181020</v>
          </cell>
          <cell r="V1934">
            <v>0</v>
          </cell>
        </row>
        <row r="1935">
          <cell r="U1935">
            <v>47640</v>
          </cell>
          <cell r="V1935">
            <v>0</v>
          </cell>
        </row>
        <row r="1936">
          <cell r="U1936">
            <v>35600</v>
          </cell>
          <cell r="V1936">
            <v>0</v>
          </cell>
        </row>
        <row r="1937">
          <cell r="U1937">
            <v>195210</v>
          </cell>
          <cell r="V1937">
            <v>0</v>
          </cell>
        </row>
        <row r="1938">
          <cell r="U1938">
            <v>1161300</v>
          </cell>
          <cell r="V1938">
            <v>0</v>
          </cell>
        </row>
        <row r="1939">
          <cell r="U1939">
            <v>175210</v>
          </cell>
          <cell r="V1939">
            <v>0</v>
          </cell>
        </row>
        <row r="1940">
          <cell r="U1940">
            <v>154940</v>
          </cell>
          <cell r="V1940">
            <v>0</v>
          </cell>
        </row>
        <row r="1941">
          <cell r="U1941">
            <v>314530</v>
          </cell>
          <cell r="V1941">
            <v>0</v>
          </cell>
        </row>
        <row r="1942">
          <cell r="U1942">
            <v>1045930</v>
          </cell>
          <cell r="V1942">
            <v>0</v>
          </cell>
        </row>
        <row r="1943">
          <cell r="U1943">
            <v>1074870</v>
          </cell>
          <cell r="V1943">
            <v>0</v>
          </cell>
        </row>
        <row r="1944">
          <cell r="U1944">
            <v>851060</v>
          </cell>
          <cell r="V1944">
            <v>0</v>
          </cell>
        </row>
        <row r="1945">
          <cell r="U1945">
            <v>896940</v>
          </cell>
          <cell r="V1945">
            <v>0</v>
          </cell>
        </row>
        <row r="1946">
          <cell r="U1946">
            <v>353830</v>
          </cell>
          <cell r="V1946">
            <v>0</v>
          </cell>
        </row>
        <row r="1947">
          <cell r="U1947">
            <v>84740</v>
          </cell>
          <cell r="V1947">
            <v>0</v>
          </cell>
        </row>
        <row r="1948">
          <cell r="U1948">
            <v>252810</v>
          </cell>
          <cell r="V1948">
            <v>0</v>
          </cell>
        </row>
        <row r="1949">
          <cell r="U1949">
            <v>71480</v>
          </cell>
          <cell r="V1949">
            <v>0</v>
          </cell>
        </row>
        <row r="1950">
          <cell r="U1950">
            <v>1228260</v>
          </cell>
          <cell r="V1950">
            <v>0</v>
          </cell>
        </row>
        <row r="1951">
          <cell r="U1951">
            <v>287200</v>
          </cell>
          <cell r="V1951">
            <v>0</v>
          </cell>
        </row>
        <row r="1952">
          <cell r="U1952">
            <v>962120</v>
          </cell>
          <cell r="V1952">
            <v>0</v>
          </cell>
        </row>
        <row r="1953">
          <cell r="U1953">
            <v>589010</v>
          </cell>
          <cell r="V1953">
            <v>0</v>
          </cell>
        </row>
        <row r="1954">
          <cell r="U1954">
            <v>480670</v>
          </cell>
          <cell r="V1954">
            <v>0</v>
          </cell>
        </row>
        <row r="1955">
          <cell r="U1955">
            <v>259110</v>
          </cell>
          <cell r="V1955">
            <v>0</v>
          </cell>
        </row>
        <row r="1956">
          <cell r="U1956">
            <v>151070</v>
          </cell>
          <cell r="V1956">
            <v>0</v>
          </cell>
        </row>
        <row r="1957">
          <cell r="U1957">
            <v>365020</v>
          </cell>
          <cell r="V1957">
            <v>0</v>
          </cell>
        </row>
        <row r="1958">
          <cell r="U1958">
            <v>378270</v>
          </cell>
          <cell r="V1958">
            <v>0</v>
          </cell>
        </row>
        <row r="1959">
          <cell r="U1959">
            <v>236360</v>
          </cell>
          <cell r="V1959">
            <v>0</v>
          </cell>
        </row>
        <row r="1960">
          <cell r="D1960">
            <v>100</v>
          </cell>
          <cell r="U1960">
            <v>32140</v>
          </cell>
          <cell r="V1960">
            <v>3214000</v>
          </cell>
        </row>
        <row r="1962">
          <cell r="D1962">
            <v>7</v>
          </cell>
          <cell r="U1962">
            <v>6320</v>
          </cell>
          <cell r="V1962">
            <v>44240</v>
          </cell>
        </row>
        <row r="1963">
          <cell r="U1963">
            <v>3370</v>
          </cell>
          <cell r="V1963">
            <v>0</v>
          </cell>
        </row>
        <row r="1964">
          <cell r="D1964">
            <v>2</v>
          </cell>
          <cell r="U1964">
            <v>12690</v>
          </cell>
          <cell r="V1964">
            <v>25380</v>
          </cell>
        </row>
        <row r="1965">
          <cell r="U1965">
            <v>130140</v>
          </cell>
          <cell r="V1965">
            <v>0</v>
          </cell>
        </row>
        <row r="1966">
          <cell r="U1966">
            <v>714770</v>
          </cell>
          <cell r="V1966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2011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 xml:space="preserve">SRA. MARIA INES NUNEZ GONZALEZ </v>
          </cell>
        </row>
      </sheetData>
      <sheetData sheetId="1"/>
      <sheetData sheetId="2">
        <row r="12">
          <cell r="D12">
            <v>45212</v>
          </cell>
        </row>
        <row r="13">
          <cell r="D13">
            <v>17830</v>
          </cell>
        </row>
        <row r="14">
          <cell r="D14">
            <v>19587</v>
          </cell>
        </row>
        <row r="15">
          <cell r="D15">
            <v>981</v>
          </cell>
        </row>
        <row r="16">
          <cell r="D16">
            <v>0</v>
          </cell>
        </row>
        <row r="17">
          <cell r="D17">
            <v>1016</v>
          </cell>
        </row>
        <row r="18">
          <cell r="D18">
            <v>3549</v>
          </cell>
        </row>
        <row r="19">
          <cell r="D19">
            <v>3028</v>
          </cell>
        </row>
        <row r="20">
          <cell r="D20">
            <v>78</v>
          </cell>
        </row>
        <row r="21">
          <cell r="D21">
            <v>443</v>
          </cell>
        </row>
        <row r="22">
          <cell r="D22">
            <v>0</v>
          </cell>
        </row>
        <row r="23">
          <cell r="D23">
            <v>58</v>
          </cell>
        </row>
        <row r="24">
          <cell r="D24">
            <v>2191</v>
          </cell>
        </row>
        <row r="25">
          <cell r="D25">
            <v>3896</v>
          </cell>
        </row>
        <row r="26">
          <cell r="D26">
            <v>2415</v>
          </cell>
        </row>
        <row r="27">
          <cell r="D27">
            <v>2</v>
          </cell>
        </row>
        <row r="28">
          <cell r="D28">
            <v>414</v>
          </cell>
        </row>
        <row r="30">
          <cell r="D30">
            <v>874</v>
          </cell>
        </row>
        <row r="31">
          <cell r="D31">
            <v>0</v>
          </cell>
        </row>
        <row r="32">
          <cell r="D32">
            <v>191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6">
          <cell r="F66">
            <v>0</v>
          </cell>
          <cell r="G66">
            <v>0</v>
          </cell>
          <cell r="H66">
            <v>0</v>
          </cell>
        </row>
        <row r="67">
          <cell r="F67">
            <v>89</v>
          </cell>
          <cell r="G67">
            <v>0</v>
          </cell>
          <cell r="H67">
            <v>0</v>
          </cell>
        </row>
        <row r="68">
          <cell r="F68">
            <v>18</v>
          </cell>
          <cell r="G68">
            <v>1</v>
          </cell>
          <cell r="H68">
            <v>0</v>
          </cell>
        </row>
        <row r="69">
          <cell r="F69">
            <v>3</v>
          </cell>
          <cell r="G69">
            <v>0</v>
          </cell>
          <cell r="H69">
            <v>0</v>
          </cell>
        </row>
        <row r="70">
          <cell r="F70">
            <v>95</v>
          </cell>
          <cell r="G70">
            <v>4</v>
          </cell>
          <cell r="H70">
            <v>0</v>
          </cell>
        </row>
        <row r="71">
          <cell r="F71">
            <v>153</v>
          </cell>
          <cell r="G71">
            <v>5</v>
          </cell>
          <cell r="H71">
            <v>0</v>
          </cell>
        </row>
        <row r="72">
          <cell r="F72">
            <v>1</v>
          </cell>
          <cell r="G72">
            <v>0</v>
          </cell>
          <cell r="H72">
            <v>0</v>
          </cell>
        </row>
        <row r="73">
          <cell r="F73">
            <v>2</v>
          </cell>
          <cell r="G73">
            <v>0</v>
          </cell>
          <cell r="H73">
            <v>0</v>
          </cell>
        </row>
        <row r="74">
          <cell r="F74">
            <v>140</v>
          </cell>
          <cell r="G74">
            <v>16</v>
          </cell>
          <cell r="H74">
            <v>0</v>
          </cell>
        </row>
        <row r="75">
          <cell r="F75">
            <v>3</v>
          </cell>
          <cell r="G75">
            <v>0</v>
          </cell>
          <cell r="H75">
            <v>0</v>
          </cell>
        </row>
        <row r="76">
          <cell r="F76">
            <v>12</v>
          </cell>
          <cell r="G76">
            <v>0</v>
          </cell>
          <cell r="H76">
            <v>0</v>
          </cell>
        </row>
        <row r="77">
          <cell r="F77">
            <v>1</v>
          </cell>
          <cell r="G77">
            <v>0</v>
          </cell>
          <cell r="H77">
            <v>0</v>
          </cell>
        </row>
        <row r="78">
          <cell r="F78">
            <v>27</v>
          </cell>
          <cell r="G78">
            <v>7</v>
          </cell>
          <cell r="H78">
            <v>0</v>
          </cell>
        </row>
        <row r="79">
          <cell r="F79">
            <v>58</v>
          </cell>
          <cell r="G79">
            <v>0</v>
          </cell>
          <cell r="H79">
            <v>0</v>
          </cell>
        </row>
        <row r="80">
          <cell r="F80">
            <v>49</v>
          </cell>
          <cell r="G80">
            <v>2</v>
          </cell>
          <cell r="H80">
            <v>0</v>
          </cell>
        </row>
        <row r="120">
          <cell r="E120">
            <v>1510</v>
          </cell>
        </row>
      </sheetData>
      <sheetData sheetId="3">
        <row r="13">
          <cell r="U13">
            <v>3830</v>
          </cell>
          <cell r="V13">
            <v>0</v>
          </cell>
        </row>
        <row r="14">
          <cell r="U14">
            <v>4820</v>
          </cell>
          <cell r="V14">
            <v>0</v>
          </cell>
        </row>
        <row r="15">
          <cell r="D15">
            <v>8586</v>
          </cell>
          <cell r="U15">
            <v>10320</v>
          </cell>
          <cell r="V15">
            <v>88607520</v>
          </cell>
        </row>
        <row r="16">
          <cell r="U16">
            <v>6170</v>
          </cell>
          <cell r="V16">
            <v>0</v>
          </cell>
        </row>
        <row r="17">
          <cell r="U17">
            <v>6770</v>
          </cell>
          <cell r="V17">
            <v>0</v>
          </cell>
        </row>
        <row r="18">
          <cell r="U18">
            <v>12950</v>
          </cell>
          <cell r="V18">
            <v>0</v>
          </cell>
        </row>
        <row r="19">
          <cell r="D19">
            <v>63</v>
          </cell>
          <cell r="U19">
            <v>12950</v>
          </cell>
          <cell r="V19">
            <v>815850</v>
          </cell>
        </row>
        <row r="20">
          <cell r="U20">
            <v>5210</v>
          </cell>
          <cell r="V20">
            <v>0</v>
          </cell>
        </row>
        <row r="21">
          <cell r="U21">
            <v>6250</v>
          </cell>
          <cell r="V21">
            <v>0</v>
          </cell>
        </row>
        <row r="22">
          <cell r="U22">
            <v>7760</v>
          </cell>
          <cell r="V22">
            <v>0</v>
          </cell>
        </row>
        <row r="23">
          <cell r="D23">
            <v>1355</v>
          </cell>
          <cell r="U23">
            <v>5210</v>
          </cell>
          <cell r="V23">
            <v>7059550</v>
          </cell>
        </row>
        <row r="24">
          <cell r="D24">
            <v>620</v>
          </cell>
          <cell r="U24">
            <v>6250</v>
          </cell>
          <cell r="V24">
            <v>3875000</v>
          </cell>
        </row>
        <row r="25">
          <cell r="D25">
            <v>1632</v>
          </cell>
          <cell r="U25">
            <v>7760</v>
          </cell>
          <cell r="V25">
            <v>12664320</v>
          </cell>
        </row>
        <row r="27">
          <cell r="D27">
            <v>1623</v>
          </cell>
          <cell r="U27">
            <v>1020</v>
          </cell>
          <cell r="V27">
            <v>1655460</v>
          </cell>
        </row>
        <row r="28">
          <cell r="U28">
            <v>1740</v>
          </cell>
          <cell r="V28">
            <v>0</v>
          </cell>
        </row>
        <row r="29">
          <cell r="U29">
            <v>550</v>
          </cell>
          <cell r="V29">
            <v>0</v>
          </cell>
        </row>
        <row r="30">
          <cell r="D30">
            <v>25</v>
          </cell>
          <cell r="U30">
            <v>1380</v>
          </cell>
          <cell r="V30">
            <v>34500</v>
          </cell>
        </row>
        <row r="31">
          <cell r="D31">
            <v>496</v>
          </cell>
          <cell r="U31">
            <v>1110</v>
          </cell>
          <cell r="V31">
            <v>550560</v>
          </cell>
        </row>
        <row r="32">
          <cell r="U32">
            <v>1020</v>
          </cell>
          <cell r="V32">
            <v>0</v>
          </cell>
        </row>
        <row r="34">
          <cell r="U34">
            <v>3340</v>
          </cell>
          <cell r="V34">
            <v>0</v>
          </cell>
        </row>
        <row r="35">
          <cell r="D35">
            <v>606</v>
          </cell>
          <cell r="U35">
            <v>1840</v>
          </cell>
          <cell r="V35">
            <v>1115040</v>
          </cell>
        </row>
        <row r="36">
          <cell r="U36">
            <v>1840</v>
          </cell>
          <cell r="V36">
            <v>0</v>
          </cell>
        </row>
        <row r="37">
          <cell r="D37">
            <v>353</v>
          </cell>
          <cell r="U37">
            <v>550</v>
          </cell>
          <cell r="V37">
            <v>194150</v>
          </cell>
        </row>
        <row r="39">
          <cell r="D39">
            <v>19</v>
          </cell>
          <cell r="U39">
            <v>1590</v>
          </cell>
          <cell r="V39">
            <v>30210</v>
          </cell>
        </row>
        <row r="40">
          <cell r="U40">
            <v>1590</v>
          </cell>
          <cell r="V40">
            <v>0</v>
          </cell>
        </row>
        <row r="41">
          <cell r="U41">
            <v>910</v>
          </cell>
          <cell r="V41">
            <v>0</v>
          </cell>
        </row>
        <row r="43">
          <cell r="D43">
            <v>5536</v>
          </cell>
          <cell r="U43">
            <v>700</v>
          </cell>
          <cell r="V43">
            <v>3875200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1240</v>
          </cell>
          <cell r="V47">
            <v>0</v>
          </cell>
        </row>
        <row r="48">
          <cell r="D48">
            <v>454</v>
          </cell>
          <cell r="U48">
            <v>600</v>
          </cell>
          <cell r="V48">
            <v>272400</v>
          </cell>
        </row>
        <row r="49">
          <cell r="D49">
            <v>641</v>
          </cell>
          <cell r="U49">
            <v>1840</v>
          </cell>
          <cell r="V49">
            <v>1179440</v>
          </cell>
        </row>
        <row r="50">
          <cell r="D50">
            <v>43</v>
          </cell>
          <cell r="U50">
            <v>13790</v>
          </cell>
          <cell r="V50">
            <v>592970</v>
          </cell>
        </row>
        <row r="51">
          <cell r="D51">
            <v>62</v>
          </cell>
          <cell r="U51">
            <v>31670</v>
          </cell>
          <cell r="V51">
            <v>1963540</v>
          </cell>
        </row>
        <row r="52">
          <cell r="D52">
            <v>19</v>
          </cell>
          <cell r="V52">
            <v>150100</v>
          </cell>
        </row>
        <row r="59">
          <cell r="D59">
            <v>4697</v>
          </cell>
          <cell r="U59">
            <v>30310</v>
          </cell>
          <cell r="V59">
            <v>142366070</v>
          </cell>
        </row>
        <row r="60">
          <cell r="U60">
            <v>27900</v>
          </cell>
          <cell r="V60">
            <v>0</v>
          </cell>
        </row>
        <row r="61">
          <cell r="U61">
            <v>23260</v>
          </cell>
          <cell r="V61">
            <v>0</v>
          </cell>
        </row>
        <row r="62">
          <cell r="U62">
            <v>126000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235</v>
          </cell>
          <cell r="U65">
            <v>60860</v>
          </cell>
          <cell r="V65">
            <v>14302100</v>
          </cell>
        </row>
        <row r="66">
          <cell r="D66">
            <v>153</v>
          </cell>
          <cell r="V66">
            <v>9311580</v>
          </cell>
        </row>
        <row r="67">
          <cell r="V67">
            <v>0</v>
          </cell>
        </row>
        <row r="68">
          <cell r="D68">
            <v>112</v>
          </cell>
          <cell r="U68">
            <v>54600</v>
          </cell>
          <cell r="V68">
            <v>6115200</v>
          </cell>
        </row>
        <row r="69">
          <cell r="U69">
            <v>15500</v>
          </cell>
          <cell r="V69">
            <v>0</v>
          </cell>
        </row>
        <row r="70">
          <cell r="U70">
            <v>24280</v>
          </cell>
          <cell r="V70">
            <v>0</v>
          </cell>
        </row>
        <row r="71">
          <cell r="U71">
            <v>25270</v>
          </cell>
          <cell r="V71">
            <v>0</v>
          </cell>
        </row>
        <row r="72">
          <cell r="U72">
            <v>10190</v>
          </cell>
          <cell r="V72">
            <v>0</v>
          </cell>
        </row>
        <row r="73">
          <cell r="U73">
            <v>24470</v>
          </cell>
          <cell r="V73">
            <v>0</v>
          </cell>
        </row>
        <row r="74">
          <cell r="U74">
            <v>10190</v>
          </cell>
          <cell r="V74">
            <v>0</v>
          </cell>
        </row>
        <row r="75">
          <cell r="D75">
            <v>4</v>
          </cell>
          <cell r="U75">
            <v>4490</v>
          </cell>
          <cell r="V75">
            <v>17960</v>
          </cell>
        </row>
        <row r="76">
          <cell r="U76">
            <v>30310</v>
          </cell>
          <cell r="V76">
            <v>0</v>
          </cell>
        </row>
        <row r="77">
          <cell r="U77">
            <v>81940</v>
          </cell>
          <cell r="V77">
            <v>0</v>
          </cell>
        </row>
        <row r="78">
          <cell r="U78">
            <v>9670</v>
          </cell>
          <cell r="V78">
            <v>0</v>
          </cell>
        </row>
        <row r="79">
          <cell r="D79">
            <v>42</v>
          </cell>
          <cell r="U79">
            <v>5880</v>
          </cell>
          <cell r="V79">
            <v>246960</v>
          </cell>
        </row>
        <row r="80">
          <cell r="U80">
            <v>42470</v>
          </cell>
          <cell r="V80">
            <v>0</v>
          </cell>
        </row>
        <row r="81">
          <cell r="U81">
            <v>7450</v>
          </cell>
          <cell r="V81">
            <v>0</v>
          </cell>
        </row>
        <row r="83">
          <cell r="V83">
            <v>17373920</v>
          </cell>
        </row>
        <row r="174">
          <cell r="V174">
            <v>20851320</v>
          </cell>
        </row>
        <row r="243">
          <cell r="V243">
            <v>3122190</v>
          </cell>
        </row>
        <row r="289">
          <cell r="V289">
            <v>0</v>
          </cell>
        </row>
        <row r="295">
          <cell r="V295">
            <v>4261250</v>
          </cell>
        </row>
        <row r="362">
          <cell r="V362">
            <v>6286460</v>
          </cell>
        </row>
        <row r="405">
          <cell r="V405">
            <v>191520</v>
          </cell>
        </row>
        <row r="428">
          <cell r="V428">
            <v>1673890</v>
          </cell>
        </row>
        <row r="446">
          <cell r="V446">
            <v>0</v>
          </cell>
        </row>
        <row r="456">
          <cell r="V456">
            <v>98590</v>
          </cell>
        </row>
        <row r="500">
          <cell r="V500">
            <v>2294860</v>
          </cell>
        </row>
        <row r="535">
          <cell r="V535">
            <v>17803730</v>
          </cell>
        </row>
        <row r="590">
          <cell r="V590">
            <v>42740</v>
          </cell>
        </row>
        <row r="615">
          <cell r="V615">
            <v>19317150</v>
          </cell>
        </row>
        <row r="633">
          <cell r="V633">
            <v>14640070</v>
          </cell>
        </row>
        <row r="634">
          <cell r="V634">
            <v>0</v>
          </cell>
        </row>
        <row r="654">
          <cell r="V654">
            <v>0</v>
          </cell>
        </row>
        <row r="670">
          <cell r="V670">
            <v>0</v>
          </cell>
        </row>
        <row r="697">
          <cell r="V697">
            <v>0</v>
          </cell>
        </row>
        <row r="716">
          <cell r="V716">
            <v>0</v>
          </cell>
        </row>
        <row r="723">
          <cell r="V723">
            <v>0</v>
          </cell>
        </row>
        <row r="726">
          <cell r="V726">
            <v>0</v>
          </cell>
        </row>
        <row r="743">
          <cell r="V743">
            <v>0</v>
          </cell>
        </row>
        <row r="760">
          <cell r="V760">
            <v>0</v>
          </cell>
        </row>
        <row r="764">
          <cell r="D764">
            <v>313</v>
          </cell>
          <cell r="V764">
            <v>2080050</v>
          </cell>
        </row>
        <row r="779">
          <cell r="V779">
            <v>0</v>
          </cell>
        </row>
        <row r="791">
          <cell r="D791">
            <v>177</v>
          </cell>
          <cell r="U791">
            <v>6330</v>
          </cell>
          <cell r="V791">
            <v>1120410</v>
          </cell>
        </row>
        <row r="792">
          <cell r="U792">
            <v>2480</v>
          </cell>
          <cell r="V792">
            <v>0</v>
          </cell>
        </row>
        <row r="793">
          <cell r="D793">
            <v>489</v>
          </cell>
          <cell r="U793">
            <v>2480</v>
          </cell>
          <cell r="V793">
            <v>1212720</v>
          </cell>
        </row>
        <row r="794">
          <cell r="U794">
            <v>9880</v>
          </cell>
          <cell r="V794">
            <v>0</v>
          </cell>
        </row>
        <row r="795">
          <cell r="D795">
            <v>14</v>
          </cell>
          <cell r="U795">
            <v>11570</v>
          </cell>
          <cell r="V795">
            <v>161980</v>
          </cell>
        </row>
        <row r="796">
          <cell r="U796">
            <v>26240</v>
          </cell>
          <cell r="V796">
            <v>0</v>
          </cell>
        </row>
        <row r="797">
          <cell r="U797">
            <v>2882</v>
          </cell>
          <cell r="V797">
            <v>0</v>
          </cell>
        </row>
        <row r="798">
          <cell r="U798">
            <v>6766</v>
          </cell>
          <cell r="V798">
            <v>0</v>
          </cell>
        </row>
        <row r="801">
          <cell r="U801">
            <v>13080</v>
          </cell>
          <cell r="V801">
            <v>0</v>
          </cell>
        </row>
        <row r="802">
          <cell r="D802">
            <v>9</v>
          </cell>
          <cell r="U802">
            <v>10470</v>
          </cell>
          <cell r="V802">
            <v>94230</v>
          </cell>
        </row>
        <row r="803">
          <cell r="U803">
            <v>355150</v>
          </cell>
          <cell r="V803">
            <v>0</v>
          </cell>
        </row>
        <row r="807">
          <cell r="V807">
            <v>0</v>
          </cell>
        </row>
        <row r="878">
          <cell r="V878">
            <v>25871280</v>
          </cell>
        </row>
        <row r="957">
          <cell r="V957">
            <v>1427680</v>
          </cell>
        </row>
        <row r="1032">
          <cell r="U1032">
            <v>8370</v>
          </cell>
          <cell r="V1032">
            <v>0</v>
          </cell>
        </row>
        <row r="1033">
          <cell r="V1033">
            <v>373050</v>
          </cell>
        </row>
        <row r="1094">
          <cell r="V1094">
            <v>6132830</v>
          </cell>
        </row>
        <row r="1162">
          <cell r="V1162">
            <v>3315065</v>
          </cell>
        </row>
        <row r="1186">
          <cell r="D1186">
            <v>698</v>
          </cell>
          <cell r="U1186">
            <v>4480</v>
          </cell>
          <cell r="V1186">
            <v>3127040</v>
          </cell>
        </row>
        <row r="1187">
          <cell r="D1187">
            <v>22</v>
          </cell>
          <cell r="U1187">
            <v>12640</v>
          </cell>
          <cell r="V1187">
            <v>278080</v>
          </cell>
        </row>
        <row r="1188">
          <cell r="D1188">
            <v>27</v>
          </cell>
          <cell r="U1188">
            <v>21430</v>
          </cell>
          <cell r="V1188">
            <v>578610</v>
          </cell>
        </row>
        <row r="1189">
          <cell r="U1189">
            <v>40910</v>
          </cell>
          <cell r="V1189">
            <v>0</v>
          </cell>
        </row>
        <row r="1190">
          <cell r="D1190">
            <v>41</v>
          </cell>
          <cell r="U1190">
            <v>45600</v>
          </cell>
          <cell r="V1190">
            <v>1869600</v>
          </cell>
        </row>
        <row r="1191">
          <cell r="U1191">
            <v>25580</v>
          </cell>
          <cell r="V1191">
            <v>0</v>
          </cell>
        </row>
        <row r="1192">
          <cell r="U1192">
            <v>197910</v>
          </cell>
          <cell r="V1192">
            <v>0</v>
          </cell>
        </row>
        <row r="1193">
          <cell r="U1193">
            <v>224990</v>
          </cell>
          <cell r="V1193">
            <v>0</v>
          </cell>
        </row>
        <row r="1194">
          <cell r="U1194">
            <v>183470</v>
          </cell>
          <cell r="V1194">
            <v>0</v>
          </cell>
        </row>
        <row r="1195">
          <cell r="U1195">
            <v>235660</v>
          </cell>
          <cell r="V1195">
            <v>0</v>
          </cell>
        </row>
        <row r="1196">
          <cell r="U1196">
            <v>241140</v>
          </cell>
          <cell r="V1196">
            <v>0</v>
          </cell>
        </row>
        <row r="1197">
          <cell r="U1197">
            <v>203920</v>
          </cell>
          <cell r="V1197">
            <v>0</v>
          </cell>
        </row>
        <row r="1198">
          <cell r="U1198">
            <v>217670</v>
          </cell>
          <cell r="V1198">
            <v>0</v>
          </cell>
        </row>
        <row r="1199">
          <cell r="U1199">
            <v>260270</v>
          </cell>
          <cell r="V1199">
            <v>0</v>
          </cell>
        </row>
        <row r="1200">
          <cell r="U1200">
            <v>230810</v>
          </cell>
          <cell r="V1200">
            <v>0</v>
          </cell>
        </row>
        <row r="1201">
          <cell r="U1201">
            <v>1689070</v>
          </cell>
          <cell r="V1201">
            <v>0</v>
          </cell>
        </row>
        <row r="1202">
          <cell r="U1202">
            <v>1054990</v>
          </cell>
          <cell r="V1202">
            <v>0</v>
          </cell>
        </row>
        <row r="1203">
          <cell r="U1203">
            <v>1021110</v>
          </cell>
          <cell r="V1203">
            <v>0</v>
          </cell>
        </row>
        <row r="1204">
          <cell r="U1204">
            <v>1069740</v>
          </cell>
          <cell r="V1204">
            <v>0</v>
          </cell>
        </row>
        <row r="1205">
          <cell r="U1205">
            <v>151380</v>
          </cell>
          <cell r="V1205">
            <v>0</v>
          </cell>
        </row>
        <row r="1206">
          <cell r="U1206">
            <v>345440</v>
          </cell>
          <cell r="V1206">
            <v>0</v>
          </cell>
        </row>
        <row r="1207">
          <cell r="U1207">
            <v>128060</v>
          </cell>
          <cell r="V1207">
            <v>0</v>
          </cell>
        </row>
        <row r="1208">
          <cell r="U1208">
            <v>1037610</v>
          </cell>
          <cell r="V1208">
            <v>0</v>
          </cell>
        </row>
        <row r="1209">
          <cell r="U1209">
            <v>1037610</v>
          </cell>
          <cell r="V1209">
            <v>0</v>
          </cell>
        </row>
        <row r="1210">
          <cell r="V1210">
            <v>71500</v>
          </cell>
        </row>
        <row r="1276">
          <cell r="V1276">
            <v>206600</v>
          </cell>
        </row>
        <row r="1343">
          <cell r="D1343">
            <v>16</v>
          </cell>
          <cell r="U1343">
            <v>30950</v>
          </cell>
          <cell r="V1343">
            <v>495200</v>
          </cell>
        </row>
        <row r="1344">
          <cell r="U1344">
            <v>37330</v>
          </cell>
          <cell r="V1344">
            <v>0</v>
          </cell>
        </row>
        <row r="1345">
          <cell r="D1345">
            <v>2</v>
          </cell>
          <cell r="U1345">
            <v>39760</v>
          </cell>
          <cell r="V1345">
            <v>79520</v>
          </cell>
        </row>
        <row r="1346">
          <cell r="V1346">
            <v>35404260</v>
          </cell>
        </row>
        <row r="1430">
          <cell r="V1430">
            <v>695820</v>
          </cell>
        </row>
        <row r="1470">
          <cell r="U1470">
            <v>38160</v>
          </cell>
          <cell r="V1470">
            <v>0</v>
          </cell>
        </row>
        <row r="1471">
          <cell r="U1471">
            <v>24000</v>
          </cell>
          <cell r="V1471">
            <v>0</v>
          </cell>
        </row>
        <row r="1472">
          <cell r="U1472">
            <v>24000</v>
          </cell>
          <cell r="V1472">
            <v>0</v>
          </cell>
        </row>
        <row r="1473">
          <cell r="U1473">
            <v>726900</v>
          </cell>
          <cell r="V1473">
            <v>0</v>
          </cell>
        </row>
        <row r="1474">
          <cell r="U1474">
            <v>515080</v>
          </cell>
          <cell r="V1474">
            <v>0</v>
          </cell>
        </row>
        <row r="1475">
          <cell r="U1475">
            <v>43850</v>
          </cell>
          <cell r="V1475">
            <v>0</v>
          </cell>
        </row>
        <row r="1476">
          <cell r="U1476">
            <v>591930</v>
          </cell>
          <cell r="V1476">
            <v>0</v>
          </cell>
        </row>
        <row r="1477">
          <cell r="V1477">
            <v>1735540</v>
          </cell>
        </row>
        <row r="1562">
          <cell r="V1562">
            <v>11768770</v>
          </cell>
        </row>
        <row r="1580">
          <cell r="V1580">
            <v>28220</v>
          </cell>
        </row>
        <row r="1585">
          <cell r="V1585">
            <v>5686140</v>
          </cell>
        </row>
        <row r="1619">
          <cell r="V1619">
            <v>6373170</v>
          </cell>
        </row>
        <row r="1620">
          <cell r="V1620">
            <v>0</v>
          </cell>
        </row>
        <row r="1621">
          <cell r="D1621">
            <v>17</v>
          </cell>
          <cell r="V1621">
            <v>1520820</v>
          </cell>
        </row>
        <row r="1622">
          <cell r="D1622">
            <v>41</v>
          </cell>
          <cell r="V1622">
            <v>4852350</v>
          </cell>
        </row>
        <row r="1623">
          <cell r="V1623">
            <v>0</v>
          </cell>
        </row>
        <row r="1624">
          <cell r="D1624">
            <v>109</v>
          </cell>
          <cell r="U1624">
            <v>118340</v>
          </cell>
          <cell r="V1624">
            <v>12899060</v>
          </cell>
        </row>
        <row r="1625">
          <cell r="D1625">
            <v>2</v>
          </cell>
          <cell r="U1625">
            <v>124520</v>
          </cell>
          <cell r="V1625">
            <v>249040</v>
          </cell>
        </row>
        <row r="1627">
          <cell r="V1627">
            <v>8507900</v>
          </cell>
        </row>
        <row r="1833">
          <cell r="D1833">
            <v>3</v>
          </cell>
          <cell r="F1833">
            <v>1</v>
          </cell>
          <cell r="G1833">
            <v>0</v>
          </cell>
          <cell r="V1833">
            <v>173215</v>
          </cell>
        </row>
        <row r="1837">
          <cell r="D1837">
            <v>21</v>
          </cell>
          <cell r="V1837">
            <v>1336550</v>
          </cell>
        </row>
        <row r="1849">
          <cell r="D1849">
            <v>27</v>
          </cell>
          <cell r="U1849">
            <v>25670</v>
          </cell>
          <cell r="V1849">
            <v>693090</v>
          </cell>
        </row>
        <row r="1851">
          <cell r="D1851">
            <v>286</v>
          </cell>
          <cell r="U1851">
            <v>16920</v>
          </cell>
          <cell r="V1851">
            <v>4839120</v>
          </cell>
        </row>
        <row r="1852">
          <cell r="D1852">
            <v>170</v>
          </cell>
          <cell r="U1852">
            <v>53200</v>
          </cell>
          <cell r="V1852">
            <v>9044000</v>
          </cell>
        </row>
        <row r="1853">
          <cell r="U1853">
            <v>65950</v>
          </cell>
          <cell r="V1853">
            <v>0</v>
          </cell>
        </row>
        <row r="1854">
          <cell r="D1854">
            <v>133</v>
          </cell>
          <cell r="U1854">
            <v>2320</v>
          </cell>
          <cell r="V1854">
            <v>308560</v>
          </cell>
        </row>
        <row r="1855">
          <cell r="U1855">
            <v>70</v>
          </cell>
          <cell r="V1855">
            <v>0</v>
          </cell>
        </row>
        <row r="1856">
          <cell r="U1856">
            <v>140030</v>
          </cell>
          <cell r="V1856">
            <v>0</v>
          </cell>
        </row>
        <row r="1857">
          <cell r="U1857">
            <v>9520</v>
          </cell>
          <cell r="V1857">
            <v>0</v>
          </cell>
        </row>
        <row r="1859">
          <cell r="V1859">
            <v>3073330</v>
          </cell>
        </row>
        <row r="1876">
          <cell r="V1876">
            <v>3055960</v>
          </cell>
        </row>
        <row r="1895">
          <cell r="V1895">
            <v>3021150</v>
          </cell>
        </row>
        <row r="1920">
          <cell r="D1920">
            <v>487</v>
          </cell>
          <cell r="U1920">
            <v>17720</v>
          </cell>
          <cell r="V1920">
            <v>8629640</v>
          </cell>
        </row>
        <row r="1921">
          <cell r="U1921">
            <v>222170</v>
          </cell>
          <cell r="V1921">
            <v>0</v>
          </cell>
        </row>
        <row r="1923">
          <cell r="U1923">
            <v>226920</v>
          </cell>
          <cell r="V1923">
            <v>0</v>
          </cell>
        </row>
        <row r="1924">
          <cell r="U1924">
            <v>32250</v>
          </cell>
          <cell r="V1924">
            <v>0</v>
          </cell>
        </row>
        <row r="1925">
          <cell r="U1925">
            <v>121620</v>
          </cell>
          <cell r="V1925">
            <v>0</v>
          </cell>
        </row>
        <row r="1926">
          <cell r="U1926">
            <v>121620</v>
          </cell>
          <cell r="V1926">
            <v>0</v>
          </cell>
        </row>
        <row r="1927">
          <cell r="U1927">
            <v>221430</v>
          </cell>
          <cell r="V1927">
            <v>0</v>
          </cell>
        </row>
        <row r="1928">
          <cell r="U1928">
            <v>339820</v>
          </cell>
          <cell r="V1928">
            <v>0</v>
          </cell>
        </row>
        <row r="1929">
          <cell r="U1929">
            <v>579700</v>
          </cell>
          <cell r="V1929">
            <v>0</v>
          </cell>
        </row>
        <row r="1930">
          <cell r="U1930">
            <v>120740</v>
          </cell>
          <cell r="V1930">
            <v>0</v>
          </cell>
        </row>
        <row r="1931">
          <cell r="U1931">
            <v>325420</v>
          </cell>
          <cell r="V1931">
            <v>0</v>
          </cell>
        </row>
        <row r="1932">
          <cell r="U1932">
            <v>137020</v>
          </cell>
          <cell r="V1932">
            <v>0</v>
          </cell>
        </row>
        <row r="1933">
          <cell r="U1933">
            <v>119070</v>
          </cell>
          <cell r="V1933">
            <v>0</v>
          </cell>
        </row>
        <row r="1934">
          <cell r="U1934">
            <v>181020</v>
          </cell>
          <cell r="V1934">
            <v>0</v>
          </cell>
        </row>
        <row r="1935">
          <cell r="U1935">
            <v>47640</v>
          </cell>
          <cell r="V1935">
            <v>0</v>
          </cell>
        </row>
        <row r="1936">
          <cell r="U1936">
            <v>35600</v>
          </cell>
          <cell r="V1936">
            <v>0</v>
          </cell>
        </row>
        <row r="1937">
          <cell r="U1937">
            <v>195210</v>
          </cell>
          <cell r="V1937">
            <v>0</v>
          </cell>
        </row>
        <row r="1938">
          <cell r="U1938">
            <v>1161300</v>
          </cell>
          <cell r="V1938">
            <v>0</v>
          </cell>
        </row>
        <row r="1939">
          <cell r="U1939">
            <v>175210</v>
          </cell>
          <cell r="V1939">
            <v>0</v>
          </cell>
        </row>
        <row r="1940">
          <cell r="U1940">
            <v>154940</v>
          </cell>
          <cell r="V1940">
            <v>0</v>
          </cell>
        </row>
        <row r="1941">
          <cell r="U1941">
            <v>314530</v>
          </cell>
          <cell r="V1941">
            <v>0</v>
          </cell>
        </row>
        <row r="1942">
          <cell r="U1942">
            <v>1045930</v>
          </cell>
          <cell r="V1942">
            <v>0</v>
          </cell>
        </row>
        <row r="1943">
          <cell r="U1943">
            <v>1074870</v>
          </cell>
          <cell r="V1943">
            <v>0</v>
          </cell>
        </row>
        <row r="1944">
          <cell r="U1944">
            <v>851060</v>
          </cell>
          <cell r="V1944">
            <v>0</v>
          </cell>
        </row>
        <row r="1945">
          <cell r="U1945">
            <v>896940</v>
          </cell>
          <cell r="V1945">
            <v>0</v>
          </cell>
        </row>
        <row r="1946">
          <cell r="U1946">
            <v>353830</v>
          </cell>
          <cell r="V1946">
            <v>0</v>
          </cell>
        </row>
        <row r="1947">
          <cell r="U1947">
            <v>84740</v>
          </cell>
          <cell r="V1947">
            <v>0</v>
          </cell>
        </row>
        <row r="1948">
          <cell r="U1948">
            <v>252810</v>
          </cell>
          <cell r="V1948">
            <v>0</v>
          </cell>
        </row>
        <row r="1949">
          <cell r="U1949">
            <v>71480</v>
          </cell>
          <cell r="V1949">
            <v>0</v>
          </cell>
        </row>
        <row r="1950">
          <cell r="U1950">
            <v>1228260</v>
          </cell>
          <cell r="V1950">
            <v>0</v>
          </cell>
        </row>
        <row r="1951">
          <cell r="U1951">
            <v>287200</v>
          </cell>
          <cell r="V1951">
            <v>0</v>
          </cell>
        </row>
        <row r="1952">
          <cell r="U1952">
            <v>962120</v>
          </cell>
          <cell r="V1952">
            <v>0</v>
          </cell>
        </row>
        <row r="1953">
          <cell r="U1953">
            <v>589010</v>
          </cell>
          <cell r="V1953">
            <v>0</v>
          </cell>
        </row>
        <row r="1954">
          <cell r="U1954">
            <v>480670</v>
          </cell>
          <cell r="V1954">
            <v>0</v>
          </cell>
        </row>
        <row r="1955">
          <cell r="U1955">
            <v>259110</v>
          </cell>
          <cell r="V1955">
            <v>0</v>
          </cell>
        </row>
        <row r="1956">
          <cell r="U1956">
            <v>151070</v>
          </cell>
          <cell r="V1956">
            <v>0</v>
          </cell>
        </row>
        <row r="1957">
          <cell r="U1957">
            <v>365020</v>
          </cell>
          <cell r="V1957">
            <v>0</v>
          </cell>
        </row>
        <row r="1958">
          <cell r="U1958">
            <v>378270</v>
          </cell>
          <cell r="V1958">
            <v>0</v>
          </cell>
        </row>
        <row r="1959">
          <cell r="U1959">
            <v>236360</v>
          </cell>
          <cell r="V1959">
            <v>0</v>
          </cell>
        </row>
        <row r="1960">
          <cell r="D1960">
            <v>99</v>
          </cell>
          <cell r="U1960">
            <v>32140</v>
          </cell>
          <cell r="V1960">
            <v>3181860</v>
          </cell>
        </row>
        <row r="1962">
          <cell r="D1962">
            <v>7</v>
          </cell>
          <cell r="U1962">
            <v>6320</v>
          </cell>
          <cell r="V1962">
            <v>44240</v>
          </cell>
        </row>
        <row r="1963">
          <cell r="U1963">
            <v>3370</v>
          </cell>
          <cell r="V1963">
            <v>0</v>
          </cell>
        </row>
        <row r="1964">
          <cell r="D1964">
            <v>2</v>
          </cell>
          <cell r="U1964">
            <v>12690</v>
          </cell>
          <cell r="V1964">
            <v>25380</v>
          </cell>
        </row>
        <row r="1965">
          <cell r="U1965">
            <v>130140</v>
          </cell>
          <cell r="V1965">
            <v>0</v>
          </cell>
        </row>
        <row r="1966">
          <cell r="U1966">
            <v>714770</v>
          </cell>
          <cell r="V1966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2011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 refreshError="1"/>
      <sheetData sheetId="2">
        <row r="12">
          <cell r="D12">
            <v>38982</v>
          </cell>
        </row>
        <row r="13">
          <cell r="D13">
            <v>15041</v>
          </cell>
        </row>
        <row r="14">
          <cell r="D14">
            <v>16317</v>
          </cell>
        </row>
        <row r="15">
          <cell r="D15">
            <v>945</v>
          </cell>
        </row>
        <row r="16">
          <cell r="D16">
            <v>0</v>
          </cell>
        </row>
        <row r="17">
          <cell r="D17">
            <v>1227</v>
          </cell>
        </row>
        <row r="18">
          <cell r="D18">
            <v>3553</v>
          </cell>
        </row>
        <row r="19">
          <cell r="D19">
            <v>3076</v>
          </cell>
        </row>
        <row r="20">
          <cell r="D20">
            <v>88</v>
          </cell>
        </row>
        <row r="21">
          <cell r="D21">
            <v>389</v>
          </cell>
        </row>
        <row r="22">
          <cell r="D22">
            <v>0</v>
          </cell>
        </row>
        <row r="23">
          <cell r="D23">
            <v>37</v>
          </cell>
        </row>
        <row r="24">
          <cell r="D24">
            <v>1862</v>
          </cell>
        </row>
        <row r="25">
          <cell r="D25">
            <v>3173</v>
          </cell>
        </row>
        <row r="26">
          <cell r="D26">
            <v>1962</v>
          </cell>
        </row>
        <row r="27">
          <cell r="D27">
            <v>0</v>
          </cell>
        </row>
        <row r="28">
          <cell r="D28">
            <v>408</v>
          </cell>
        </row>
        <row r="30">
          <cell r="D30">
            <v>613</v>
          </cell>
        </row>
        <row r="31">
          <cell r="D31">
            <v>0</v>
          </cell>
        </row>
        <row r="32">
          <cell r="D32">
            <v>190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6">
          <cell r="F66">
            <v>0</v>
          </cell>
          <cell r="G66">
            <v>0</v>
          </cell>
          <cell r="H66">
            <v>0</v>
          </cell>
        </row>
        <row r="67">
          <cell r="F67">
            <v>74</v>
          </cell>
          <cell r="G67">
            <v>0</v>
          </cell>
          <cell r="H67">
            <v>0</v>
          </cell>
        </row>
        <row r="68">
          <cell r="F68">
            <v>8</v>
          </cell>
          <cell r="G68">
            <v>2</v>
          </cell>
          <cell r="H68">
            <v>0</v>
          </cell>
        </row>
        <row r="69">
          <cell r="F69">
            <v>6</v>
          </cell>
          <cell r="G69">
            <v>0</v>
          </cell>
          <cell r="H69">
            <v>0</v>
          </cell>
        </row>
        <row r="70">
          <cell r="F70">
            <v>104</v>
          </cell>
          <cell r="G70">
            <v>4</v>
          </cell>
          <cell r="H70">
            <v>0</v>
          </cell>
        </row>
        <row r="71">
          <cell r="F71">
            <v>152</v>
          </cell>
          <cell r="G71">
            <v>0</v>
          </cell>
          <cell r="H71">
            <v>0</v>
          </cell>
        </row>
        <row r="72">
          <cell r="F72">
            <v>2</v>
          </cell>
          <cell r="G72">
            <v>0</v>
          </cell>
          <cell r="H72">
            <v>0</v>
          </cell>
        </row>
        <row r="73">
          <cell r="F73">
            <v>2</v>
          </cell>
          <cell r="G73">
            <v>0</v>
          </cell>
          <cell r="H73">
            <v>0</v>
          </cell>
        </row>
        <row r="74">
          <cell r="F74">
            <v>118</v>
          </cell>
          <cell r="G74">
            <v>8</v>
          </cell>
          <cell r="H74">
            <v>0</v>
          </cell>
        </row>
        <row r="75">
          <cell r="F75">
            <v>8</v>
          </cell>
          <cell r="G75">
            <v>1</v>
          </cell>
          <cell r="H75">
            <v>0</v>
          </cell>
        </row>
        <row r="76">
          <cell r="F76">
            <v>11</v>
          </cell>
          <cell r="G76">
            <v>1</v>
          </cell>
          <cell r="H76">
            <v>0</v>
          </cell>
        </row>
        <row r="77">
          <cell r="F77">
            <v>5</v>
          </cell>
          <cell r="G77">
            <v>0</v>
          </cell>
          <cell r="H77">
            <v>0</v>
          </cell>
        </row>
        <row r="78">
          <cell r="F78">
            <v>24</v>
          </cell>
          <cell r="G78">
            <v>4</v>
          </cell>
          <cell r="H78">
            <v>0</v>
          </cell>
        </row>
        <row r="79">
          <cell r="F79">
            <v>62</v>
          </cell>
          <cell r="G79">
            <v>0</v>
          </cell>
          <cell r="H79">
            <v>0</v>
          </cell>
        </row>
        <row r="80">
          <cell r="F80">
            <v>20</v>
          </cell>
          <cell r="G80">
            <v>0</v>
          </cell>
          <cell r="H80">
            <v>0</v>
          </cell>
        </row>
        <row r="120">
          <cell r="E120">
            <v>1687</v>
          </cell>
        </row>
      </sheetData>
      <sheetData sheetId="3">
        <row r="13">
          <cell r="U13">
            <v>3710</v>
          </cell>
          <cell r="V13">
            <v>0</v>
          </cell>
        </row>
        <row r="14">
          <cell r="U14">
            <v>4670</v>
          </cell>
          <cell r="V14">
            <v>0</v>
          </cell>
        </row>
        <row r="15">
          <cell r="D15">
            <v>8072</v>
          </cell>
          <cell r="U15">
            <v>9990</v>
          </cell>
          <cell r="V15">
            <v>80639280</v>
          </cell>
        </row>
        <row r="16">
          <cell r="U16">
            <v>5970</v>
          </cell>
          <cell r="V16">
            <v>0</v>
          </cell>
        </row>
        <row r="17">
          <cell r="U17">
            <v>6550</v>
          </cell>
          <cell r="V17">
            <v>0</v>
          </cell>
        </row>
        <row r="18">
          <cell r="U18">
            <v>12540</v>
          </cell>
          <cell r="V18">
            <v>0</v>
          </cell>
        </row>
        <row r="19">
          <cell r="D19">
            <v>204</v>
          </cell>
          <cell r="U19">
            <v>12540</v>
          </cell>
          <cell r="V19">
            <v>2558160</v>
          </cell>
        </row>
        <row r="20">
          <cell r="U20">
            <v>5040</v>
          </cell>
          <cell r="V20">
            <v>0</v>
          </cell>
        </row>
        <row r="21">
          <cell r="U21">
            <v>6050</v>
          </cell>
          <cell r="V21">
            <v>0</v>
          </cell>
        </row>
        <row r="22">
          <cell r="U22">
            <v>7510</v>
          </cell>
          <cell r="V22">
            <v>0</v>
          </cell>
        </row>
        <row r="23">
          <cell r="D23">
            <v>1037</v>
          </cell>
          <cell r="U23">
            <v>5040</v>
          </cell>
          <cell r="V23">
            <v>5226480</v>
          </cell>
        </row>
        <row r="24">
          <cell r="D24">
            <v>544</v>
          </cell>
          <cell r="U24">
            <v>6050</v>
          </cell>
          <cell r="V24">
            <v>3291200</v>
          </cell>
        </row>
        <row r="25">
          <cell r="D25">
            <v>1559</v>
          </cell>
          <cell r="U25">
            <v>7510</v>
          </cell>
          <cell r="V25">
            <v>11708090</v>
          </cell>
        </row>
        <row r="27">
          <cell r="D27">
            <v>1060</v>
          </cell>
          <cell r="U27">
            <v>990</v>
          </cell>
          <cell r="V27">
            <v>1049400</v>
          </cell>
        </row>
        <row r="28">
          <cell r="U28">
            <v>1680</v>
          </cell>
          <cell r="V28">
            <v>0</v>
          </cell>
        </row>
        <row r="29">
          <cell r="U29">
            <v>530</v>
          </cell>
          <cell r="V29">
            <v>0</v>
          </cell>
        </row>
        <row r="30">
          <cell r="D30">
            <v>22</v>
          </cell>
          <cell r="U30">
            <v>1340</v>
          </cell>
          <cell r="V30">
            <v>29480</v>
          </cell>
        </row>
        <row r="31">
          <cell r="D31">
            <v>934</v>
          </cell>
          <cell r="U31">
            <v>1070</v>
          </cell>
          <cell r="V31">
            <v>999380</v>
          </cell>
        </row>
        <row r="32">
          <cell r="U32">
            <v>990</v>
          </cell>
          <cell r="V32">
            <v>0</v>
          </cell>
        </row>
        <row r="34">
          <cell r="U34">
            <v>3230</v>
          </cell>
          <cell r="V34">
            <v>0</v>
          </cell>
        </row>
        <row r="35">
          <cell r="D35">
            <v>207</v>
          </cell>
          <cell r="U35">
            <v>1780</v>
          </cell>
          <cell r="V35">
            <v>368460</v>
          </cell>
        </row>
        <row r="36">
          <cell r="D36">
            <v>1</v>
          </cell>
          <cell r="U36">
            <v>1780</v>
          </cell>
          <cell r="V36">
            <v>1780</v>
          </cell>
        </row>
        <row r="37">
          <cell r="D37">
            <v>114</v>
          </cell>
          <cell r="U37">
            <v>530</v>
          </cell>
          <cell r="V37">
            <v>60420</v>
          </cell>
        </row>
        <row r="39">
          <cell r="D39">
            <v>20</v>
          </cell>
          <cell r="U39">
            <v>1540</v>
          </cell>
          <cell r="V39">
            <v>30800</v>
          </cell>
        </row>
        <row r="40">
          <cell r="D40">
            <v>6</v>
          </cell>
          <cell r="U40">
            <v>1540</v>
          </cell>
          <cell r="V40">
            <v>9240</v>
          </cell>
        </row>
        <row r="41">
          <cell r="U41">
            <v>880</v>
          </cell>
          <cell r="V41">
            <v>0</v>
          </cell>
        </row>
        <row r="43">
          <cell r="D43">
            <v>2499</v>
          </cell>
          <cell r="U43">
            <v>680</v>
          </cell>
          <cell r="V43">
            <v>1699320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1200</v>
          </cell>
          <cell r="V47">
            <v>0</v>
          </cell>
        </row>
        <row r="48">
          <cell r="D48">
            <v>299</v>
          </cell>
          <cell r="U48">
            <v>580</v>
          </cell>
          <cell r="V48">
            <v>173420</v>
          </cell>
        </row>
        <row r="49">
          <cell r="D49">
            <v>725</v>
          </cell>
          <cell r="U49">
            <v>1780</v>
          </cell>
          <cell r="V49">
            <v>1290500</v>
          </cell>
        </row>
        <row r="50">
          <cell r="D50">
            <v>40</v>
          </cell>
          <cell r="U50">
            <v>13350</v>
          </cell>
          <cell r="V50">
            <v>534000</v>
          </cell>
        </row>
        <row r="51">
          <cell r="D51">
            <v>90</v>
          </cell>
          <cell r="U51">
            <v>30660</v>
          </cell>
          <cell r="V51">
            <v>2759400</v>
          </cell>
        </row>
        <row r="52">
          <cell r="D52">
            <v>16</v>
          </cell>
          <cell r="V52">
            <v>122400</v>
          </cell>
        </row>
        <row r="59">
          <cell r="D59">
            <v>4687</v>
          </cell>
          <cell r="U59">
            <v>29340</v>
          </cell>
          <cell r="V59">
            <v>137516580</v>
          </cell>
        </row>
        <row r="60">
          <cell r="U60">
            <v>27010</v>
          </cell>
          <cell r="V60">
            <v>0</v>
          </cell>
        </row>
        <row r="61">
          <cell r="U61">
            <v>22520</v>
          </cell>
          <cell r="V61">
            <v>0</v>
          </cell>
        </row>
        <row r="62">
          <cell r="U62">
            <v>121970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112</v>
          </cell>
          <cell r="U65">
            <v>58920</v>
          </cell>
          <cell r="V65">
            <v>6599040</v>
          </cell>
        </row>
        <row r="66">
          <cell r="D66">
            <v>78</v>
          </cell>
          <cell r="V66">
            <v>4595760</v>
          </cell>
        </row>
        <row r="67">
          <cell r="V67">
            <v>0</v>
          </cell>
        </row>
        <row r="68">
          <cell r="D68">
            <v>199</v>
          </cell>
          <cell r="U68">
            <v>52860</v>
          </cell>
          <cell r="V68">
            <v>10519140</v>
          </cell>
        </row>
        <row r="69">
          <cell r="U69">
            <v>15000</v>
          </cell>
          <cell r="V69">
            <v>0</v>
          </cell>
        </row>
        <row r="70">
          <cell r="U70">
            <v>23500</v>
          </cell>
          <cell r="V70">
            <v>0</v>
          </cell>
        </row>
        <row r="71">
          <cell r="U71">
            <v>24460</v>
          </cell>
          <cell r="V71">
            <v>0</v>
          </cell>
        </row>
        <row r="72">
          <cell r="U72">
            <v>9860</v>
          </cell>
          <cell r="V72">
            <v>0</v>
          </cell>
        </row>
        <row r="73">
          <cell r="U73">
            <v>23690</v>
          </cell>
          <cell r="V73">
            <v>0</v>
          </cell>
        </row>
        <row r="74">
          <cell r="U74">
            <v>9860</v>
          </cell>
          <cell r="V74">
            <v>0</v>
          </cell>
        </row>
        <row r="75">
          <cell r="D75">
            <v>6</v>
          </cell>
          <cell r="U75">
            <v>4350</v>
          </cell>
          <cell r="V75">
            <v>26100</v>
          </cell>
        </row>
        <row r="76">
          <cell r="U76">
            <v>29340</v>
          </cell>
          <cell r="V76">
            <v>0</v>
          </cell>
        </row>
        <row r="77">
          <cell r="U77">
            <v>79320</v>
          </cell>
          <cell r="V77">
            <v>0</v>
          </cell>
        </row>
        <row r="78">
          <cell r="U78">
            <v>9360</v>
          </cell>
          <cell r="V78">
            <v>0</v>
          </cell>
        </row>
        <row r="79">
          <cell r="U79">
            <v>5690</v>
          </cell>
          <cell r="V79">
            <v>0</v>
          </cell>
        </row>
        <row r="80">
          <cell r="U80">
            <v>41110</v>
          </cell>
          <cell r="V80">
            <v>0</v>
          </cell>
        </row>
        <row r="81">
          <cell r="U81">
            <v>7210</v>
          </cell>
          <cell r="V81">
            <v>0</v>
          </cell>
        </row>
        <row r="83">
          <cell r="V83">
            <v>14240400</v>
          </cell>
        </row>
        <row r="174">
          <cell r="V174">
            <v>16780180</v>
          </cell>
        </row>
        <row r="243">
          <cell r="V243">
            <v>2920560</v>
          </cell>
        </row>
        <row r="289">
          <cell r="V289">
            <v>0</v>
          </cell>
        </row>
        <row r="295">
          <cell r="V295">
            <v>5012540</v>
          </cell>
        </row>
        <row r="362">
          <cell r="V362">
            <v>6203120</v>
          </cell>
        </row>
        <row r="405">
          <cell r="V405">
            <v>202690</v>
          </cell>
        </row>
        <row r="428">
          <cell r="V428">
            <v>1426390</v>
          </cell>
        </row>
        <row r="446">
          <cell r="V446">
            <v>0</v>
          </cell>
        </row>
        <row r="456">
          <cell r="V456">
            <v>48980</v>
          </cell>
        </row>
        <row r="500">
          <cell r="V500">
            <v>1934580</v>
          </cell>
        </row>
        <row r="535">
          <cell r="V535">
            <v>13700130</v>
          </cell>
        </row>
        <row r="590">
          <cell r="V590">
            <v>0</v>
          </cell>
        </row>
        <row r="615">
          <cell r="V615">
            <v>19132840</v>
          </cell>
        </row>
        <row r="633">
          <cell r="V633">
            <v>10665300</v>
          </cell>
        </row>
        <row r="634">
          <cell r="V634">
            <v>0</v>
          </cell>
        </row>
        <row r="654">
          <cell r="V654">
            <v>0</v>
          </cell>
        </row>
        <row r="670">
          <cell r="V670">
            <v>0</v>
          </cell>
        </row>
        <row r="697">
          <cell r="V697">
            <v>0</v>
          </cell>
        </row>
        <row r="716">
          <cell r="V716">
            <v>0</v>
          </cell>
        </row>
        <row r="723">
          <cell r="V723">
            <v>0</v>
          </cell>
        </row>
        <row r="726">
          <cell r="V726">
            <v>0</v>
          </cell>
        </row>
        <row r="743">
          <cell r="V743">
            <v>0</v>
          </cell>
        </row>
        <row r="760">
          <cell r="V760">
            <v>0</v>
          </cell>
        </row>
        <row r="764">
          <cell r="D764">
            <v>415</v>
          </cell>
          <cell r="V764">
            <v>2478950</v>
          </cell>
        </row>
        <row r="779">
          <cell r="V779">
            <v>0</v>
          </cell>
        </row>
        <row r="791">
          <cell r="D791">
            <v>77</v>
          </cell>
          <cell r="U791">
            <v>6130</v>
          </cell>
          <cell r="V791">
            <v>472010</v>
          </cell>
        </row>
        <row r="792">
          <cell r="U792">
            <v>2400</v>
          </cell>
          <cell r="V792">
            <v>0</v>
          </cell>
        </row>
        <row r="793">
          <cell r="D793">
            <v>590</v>
          </cell>
          <cell r="U793">
            <v>2400</v>
          </cell>
          <cell r="V793">
            <v>1416000</v>
          </cell>
        </row>
        <row r="794">
          <cell r="D794">
            <v>1</v>
          </cell>
          <cell r="U794">
            <v>9560</v>
          </cell>
          <cell r="V794">
            <v>9560</v>
          </cell>
        </row>
        <row r="795">
          <cell r="D795">
            <v>4</v>
          </cell>
          <cell r="U795">
            <v>11200</v>
          </cell>
          <cell r="V795">
            <v>44800</v>
          </cell>
        </row>
        <row r="796">
          <cell r="U796">
            <v>25400</v>
          </cell>
          <cell r="V796">
            <v>0</v>
          </cell>
        </row>
        <row r="797">
          <cell r="U797">
            <v>2790</v>
          </cell>
          <cell r="V797">
            <v>0</v>
          </cell>
        </row>
        <row r="798">
          <cell r="U798">
            <v>6550</v>
          </cell>
          <cell r="V798">
            <v>0</v>
          </cell>
        </row>
        <row r="801">
          <cell r="U801">
            <v>12660</v>
          </cell>
          <cell r="V801">
            <v>0</v>
          </cell>
        </row>
        <row r="802">
          <cell r="D802">
            <v>5</v>
          </cell>
          <cell r="U802">
            <v>10140</v>
          </cell>
          <cell r="V802">
            <v>50700</v>
          </cell>
        </row>
        <row r="803">
          <cell r="U803">
            <v>343800</v>
          </cell>
          <cell r="V803">
            <v>0</v>
          </cell>
        </row>
        <row r="807">
          <cell r="V807">
            <v>0</v>
          </cell>
        </row>
        <row r="878">
          <cell r="V878">
            <v>29804170</v>
          </cell>
        </row>
        <row r="957">
          <cell r="V957">
            <v>804755</v>
          </cell>
        </row>
        <row r="1032">
          <cell r="U1032">
            <v>8100</v>
          </cell>
          <cell r="V1032">
            <v>0</v>
          </cell>
        </row>
        <row r="1033">
          <cell r="V1033">
            <v>316670</v>
          </cell>
        </row>
        <row r="1094">
          <cell r="V1094">
            <v>4530025</v>
          </cell>
        </row>
        <row r="1162">
          <cell r="V1162">
            <v>3594710</v>
          </cell>
        </row>
        <row r="1186">
          <cell r="D1186">
            <v>583</v>
          </cell>
          <cell r="U1186">
            <v>4340</v>
          </cell>
          <cell r="V1186">
            <v>2530220</v>
          </cell>
        </row>
        <row r="1187">
          <cell r="D1187">
            <v>2</v>
          </cell>
          <cell r="U1187">
            <v>12240</v>
          </cell>
          <cell r="V1187">
            <v>24480</v>
          </cell>
        </row>
        <row r="1188">
          <cell r="D1188">
            <v>20</v>
          </cell>
          <cell r="U1188">
            <v>20750</v>
          </cell>
          <cell r="V1188">
            <v>415000</v>
          </cell>
        </row>
        <row r="1189">
          <cell r="U1189">
            <v>39600</v>
          </cell>
          <cell r="V1189">
            <v>0</v>
          </cell>
        </row>
        <row r="1190">
          <cell r="D1190">
            <v>26</v>
          </cell>
          <cell r="U1190">
            <v>44140</v>
          </cell>
          <cell r="V1190">
            <v>1147640</v>
          </cell>
        </row>
        <row r="1191">
          <cell r="U1191">
            <v>24760</v>
          </cell>
          <cell r="V1191">
            <v>0</v>
          </cell>
        </row>
        <row r="1192">
          <cell r="U1192">
            <v>191590</v>
          </cell>
          <cell r="V1192">
            <v>0</v>
          </cell>
        </row>
        <row r="1193">
          <cell r="U1193">
            <v>217800</v>
          </cell>
          <cell r="V1193">
            <v>0</v>
          </cell>
        </row>
        <row r="1194">
          <cell r="U1194">
            <v>177610</v>
          </cell>
          <cell r="V1194">
            <v>0</v>
          </cell>
        </row>
        <row r="1195">
          <cell r="U1195">
            <v>228130</v>
          </cell>
          <cell r="V1195">
            <v>0</v>
          </cell>
        </row>
        <row r="1196">
          <cell r="U1196">
            <v>233440</v>
          </cell>
          <cell r="V1196">
            <v>0</v>
          </cell>
        </row>
        <row r="1197">
          <cell r="U1197">
            <v>197410</v>
          </cell>
          <cell r="V1197">
            <v>0</v>
          </cell>
        </row>
        <row r="1198">
          <cell r="U1198">
            <v>210720</v>
          </cell>
          <cell r="V1198">
            <v>0</v>
          </cell>
        </row>
        <row r="1199">
          <cell r="U1199">
            <v>251960</v>
          </cell>
          <cell r="V1199">
            <v>0</v>
          </cell>
        </row>
        <row r="1200">
          <cell r="U1200">
            <v>223440</v>
          </cell>
          <cell r="V1200">
            <v>0</v>
          </cell>
        </row>
        <row r="1201">
          <cell r="U1201">
            <v>1635110</v>
          </cell>
          <cell r="V1201">
            <v>0</v>
          </cell>
        </row>
        <row r="1202">
          <cell r="U1202">
            <v>1021290</v>
          </cell>
          <cell r="V1202">
            <v>0</v>
          </cell>
        </row>
        <row r="1203">
          <cell r="U1203">
            <v>988490</v>
          </cell>
          <cell r="V1203">
            <v>0</v>
          </cell>
        </row>
        <row r="1204">
          <cell r="U1204">
            <v>1035570</v>
          </cell>
          <cell r="V1204">
            <v>0</v>
          </cell>
        </row>
        <row r="1205">
          <cell r="U1205">
            <v>146540</v>
          </cell>
          <cell r="V1205">
            <v>0</v>
          </cell>
        </row>
        <row r="1206">
          <cell r="U1206">
            <v>334400</v>
          </cell>
          <cell r="V1206">
            <v>0</v>
          </cell>
        </row>
        <row r="1207">
          <cell r="U1207">
            <v>123970</v>
          </cell>
          <cell r="V1207">
            <v>0</v>
          </cell>
        </row>
        <row r="1208">
          <cell r="U1208">
            <v>1004460</v>
          </cell>
          <cell r="V1208">
            <v>0</v>
          </cell>
        </row>
        <row r="1209">
          <cell r="U1209">
            <v>1004460</v>
          </cell>
          <cell r="V1209">
            <v>0</v>
          </cell>
        </row>
        <row r="1210">
          <cell r="V1210">
            <v>187450</v>
          </cell>
        </row>
        <row r="1276">
          <cell r="V1276">
            <v>296330</v>
          </cell>
        </row>
        <row r="1343">
          <cell r="D1343">
            <v>27</v>
          </cell>
          <cell r="U1343">
            <v>29960</v>
          </cell>
          <cell r="V1343">
            <v>808920</v>
          </cell>
        </row>
        <row r="1344">
          <cell r="U1344">
            <v>36140</v>
          </cell>
          <cell r="V1344">
            <v>0</v>
          </cell>
        </row>
        <row r="1345">
          <cell r="D1345">
            <v>1</v>
          </cell>
          <cell r="U1345">
            <v>38490</v>
          </cell>
          <cell r="V1345">
            <v>38490</v>
          </cell>
        </row>
        <row r="1346">
          <cell r="V1346">
            <v>25937450</v>
          </cell>
        </row>
        <row r="1430">
          <cell r="V1430">
            <v>694005</v>
          </cell>
        </row>
        <row r="1470">
          <cell r="U1470">
            <v>36940</v>
          </cell>
          <cell r="V1470">
            <v>0</v>
          </cell>
        </row>
        <row r="1471">
          <cell r="U1471">
            <v>23230</v>
          </cell>
          <cell r="V1471">
            <v>0</v>
          </cell>
        </row>
        <row r="1472">
          <cell r="U1472">
            <v>23230</v>
          </cell>
          <cell r="V1472">
            <v>0</v>
          </cell>
        </row>
        <row r="1473">
          <cell r="U1473">
            <v>703680</v>
          </cell>
          <cell r="V1473">
            <v>0</v>
          </cell>
        </row>
        <row r="1474">
          <cell r="U1474">
            <v>498630</v>
          </cell>
          <cell r="V1474">
            <v>0</v>
          </cell>
        </row>
        <row r="1475">
          <cell r="U1475">
            <v>42450</v>
          </cell>
          <cell r="V1475">
            <v>0</v>
          </cell>
        </row>
        <row r="1476">
          <cell r="U1476">
            <v>573040</v>
          </cell>
          <cell r="V1476">
            <v>0</v>
          </cell>
        </row>
        <row r="1477">
          <cell r="V1477">
            <v>1725640</v>
          </cell>
        </row>
        <row r="1562">
          <cell r="V1562">
            <v>11503480</v>
          </cell>
        </row>
        <row r="1580">
          <cell r="V1580">
            <v>824890</v>
          </cell>
        </row>
        <row r="1585">
          <cell r="V1585">
            <v>3819945</v>
          </cell>
        </row>
        <row r="1619">
          <cell r="V1619">
            <v>6313630</v>
          </cell>
        </row>
        <row r="1620">
          <cell r="D1620">
            <v>6</v>
          </cell>
          <cell r="V1620">
            <v>541020</v>
          </cell>
        </row>
        <row r="1621">
          <cell r="D1621">
            <v>23</v>
          </cell>
          <cell r="V1621">
            <v>1991800</v>
          </cell>
        </row>
        <row r="1622">
          <cell r="D1622">
            <v>33</v>
          </cell>
          <cell r="V1622">
            <v>3780810</v>
          </cell>
        </row>
        <row r="1623">
          <cell r="V1623">
            <v>0</v>
          </cell>
        </row>
        <row r="1624">
          <cell r="D1624">
            <v>123</v>
          </cell>
          <cell r="U1624">
            <v>114560</v>
          </cell>
          <cell r="V1624">
            <v>14090880</v>
          </cell>
        </row>
        <row r="1625">
          <cell r="D1625">
            <v>2</v>
          </cell>
          <cell r="U1625">
            <v>120540</v>
          </cell>
          <cell r="V1625">
            <v>241080</v>
          </cell>
        </row>
        <row r="1627">
          <cell r="V1627">
            <v>2942000</v>
          </cell>
        </row>
        <row r="1833">
          <cell r="D1833">
            <v>1</v>
          </cell>
          <cell r="F1833">
            <v>0</v>
          </cell>
          <cell r="G1833">
            <v>0</v>
          </cell>
          <cell r="V1833">
            <v>47910</v>
          </cell>
        </row>
        <row r="1837">
          <cell r="D1837">
            <v>18</v>
          </cell>
          <cell r="V1837">
            <v>1337220</v>
          </cell>
        </row>
        <row r="1849">
          <cell r="D1849">
            <v>56</v>
          </cell>
          <cell r="U1849">
            <v>24850</v>
          </cell>
          <cell r="V1849">
            <v>1391600</v>
          </cell>
        </row>
        <row r="1851">
          <cell r="D1851">
            <v>224</v>
          </cell>
          <cell r="U1851">
            <v>16380</v>
          </cell>
          <cell r="V1851">
            <v>3669120</v>
          </cell>
        </row>
        <row r="1852">
          <cell r="D1852">
            <v>155</v>
          </cell>
          <cell r="U1852">
            <v>51500</v>
          </cell>
          <cell r="V1852">
            <v>7982500</v>
          </cell>
        </row>
        <row r="1853">
          <cell r="U1853">
            <v>63840</v>
          </cell>
          <cell r="V1853">
            <v>0</v>
          </cell>
        </row>
        <row r="1854">
          <cell r="D1854">
            <v>102</v>
          </cell>
          <cell r="U1854">
            <v>2250</v>
          </cell>
          <cell r="V1854">
            <v>229500</v>
          </cell>
        </row>
        <row r="1855">
          <cell r="U1855">
            <v>70</v>
          </cell>
          <cell r="V1855">
            <v>0</v>
          </cell>
        </row>
        <row r="1856">
          <cell r="U1856">
            <v>135560</v>
          </cell>
          <cell r="V1856">
            <v>0</v>
          </cell>
        </row>
        <row r="1857">
          <cell r="U1857">
            <v>9220</v>
          </cell>
          <cell r="V1857">
            <v>0</v>
          </cell>
        </row>
        <row r="1859">
          <cell r="V1859">
            <v>4536380</v>
          </cell>
        </row>
        <row r="1876">
          <cell r="V1876">
            <v>2629990</v>
          </cell>
        </row>
        <row r="1895">
          <cell r="V1895">
            <v>1347430</v>
          </cell>
        </row>
        <row r="1920">
          <cell r="D1920">
            <v>250</v>
          </cell>
          <cell r="U1920">
            <v>17150</v>
          </cell>
          <cell r="V1920">
            <v>4287500</v>
          </cell>
        </row>
        <row r="1921">
          <cell r="U1921">
            <v>215070</v>
          </cell>
          <cell r="V1921">
            <v>0</v>
          </cell>
        </row>
        <row r="1923">
          <cell r="U1923">
            <v>219670</v>
          </cell>
          <cell r="V1923">
            <v>0</v>
          </cell>
        </row>
        <row r="1924">
          <cell r="U1924">
            <v>31220</v>
          </cell>
          <cell r="V1924">
            <v>0</v>
          </cell>
        </row>
        <row r="1925">
          <cell r="U1925">
            <v>117730</v>
          </cell>
          <cell r="V1925">
            <v>0</v>
          </cell>
        </row>
        <row r="1926">
          <cell r="U1926">
            <v>117730</v>
          </cell>
          <cell r="V1926">
            <v>0</v>
          </cell>
        </row>
        <row r="1927">
          <cell r="U1927">
            <v>214360</v>
          </cell>
          <cell r="V1927">
            <v>0</v>
          </cell>
        </row>
        <row r="1928">
          <cell r="U1928">
            <v>328960</v>
          </cell>
          <cell r="V1928">
            <v>0</v>
          </cell>
        </row>
        <row r="1929">
          <cell r="U1929">
            <v>561180</v>
          </cell>
          <cell r="V1929">
            <v>0</v>
          </cell>
        </row>
        <row r="1930">
          <cell r="U1930">
            <v>116880</v>
          </cell>
          <cell r="V1930">
            <v>0</v>
          </cell>
        </row>
        <row r="1931">
          <cell r="U1931">
            <v>315020</v>
          </cell>
          <cell r="V1931">
            <v>0</v>
          </cell>
        </row>
        <row r="1932">
          <cell r="U1932">
            <v>132640</v>
          </cell>
          <cell r="V1932">
            <v>0</v>
          </cell>
        </row>
        <row r="1933">
          <cell r="U1933">
            <v>115270</v>
          </cell>
          <cell r="V1933">
            <v>0</v>
          </cell>
        </row>
        <row r="1934">
          <cell r="U1934">
            <v>175240</v>
          </cell>
          <cell r="V1934">
            <v>0</v>
          </cell>
        </row>
        <row r="1935">
          <cell r="U1935">
            <v>46120</v>
          </cell>
          <cell r="V1935">
            <v>0</v>
          </cell>
        </row>
        <row r="1936">
          <cell r="U1936">
            <v>34460</v>
          </cell>
          <cell r="V1936">
            <v>0</v>
          </cell>
        </row>
        <row r="1937">
          <cell r="U1937">
            <v>188970</v>
          </cell>
          <cell r="V1937">
            <v>0</v>
          </cell>
        </row>
        <row r="1938">
          <cell r="U1938">
            <v>1124200</v>
          </cell>
          <cell r="V1938">
            <v>0</v>
          </cell>
        </row>
        <row r="1939">
          <cell r="U1939">
            <v>169610</v>
          </cell>
          <cell r="V1939">
            <v>0</v>
          </cell>
        </row>
        <row r="1940">
          <cell r="U1940">
            <v>149990</v>
          </cell>
          <cell r="V1940">
            <v>0</v>
          </cell>
        </row>
        <row r="1941">
          <cell r="U1941">
            <v>304480</v>
          </cell>
          <cell r="V1941">
            <v>0</v>
          </cell>
        </row>
        <row r="1942">
          <cell r="U1942">
            <v>1012520</v>
          </cell>
          <cell r="V1942">
            <v>0</v>
          </cell>
        </row>
        <row r="1943">
          <cell r="U1943">
            <v>1040530</v>
          </cell>
          <cell r="V1943">
            <v>0</v>
          </cell>
        </row>
        <row r="1944">
          <cell r="U1944">
            <v>823870</v>
          </cell>
          <cell r="V1944">
            <v>0</v>
          </cell>
        </row>
        <row r="1945">
          <cell r="U1945">
            <v>868290</v>
          </cell>
          <cell r="V1945">
            <v>0</v>
          </cell>
        </row>
        <row r="1946">
          <cell r="U1946">
            <v>342530</v>
          </cell>
          <cell r="V1946">
            <v>0</v>
          </cell>
        </row>
        <row r="1947">
          <cell r="U1947">
            <v>82030</v>
          </cell>
          <cell r="V1947">
            <v>0</v>
          </cell>
        </row>
        <row r="1948">
          <cell r="U1948">
            <v>244730</v>
          </cell>
          <cell r="V1948">
            <v>0</v>
          </cell>
        </row>
        <row r="1949">
          <cell r="U1949">
            <v>69200</v>
          </cell>
          <cell r="V1949">
            <v>0</v>
          </cell>
        </row>
        <row r="1950">
          <cell r="U1950">
            <v>1189020</v>
          </cell>
          <cell r="V1950">
            <v>0</v>
          </cell>
        </row>
        <row r="1951">
          <cell r="U1951">
            <v>278030</v>
          </cell>
          <cell r="V1951">
            <v>0</v>
          </cell>
        </row>
        <row r="1952">
          <cell r="U1952">
            <v>931380</v>
          </cell>
          <cell r="V1952">
            <v>0</v>
          </cell>
        </row>
        <row r="1953">
          <cell r="U1953">
            <v>570190</v>
          </cell>
          <cell r="V1953">
            <v>0</v>
          </cell>
        </row>
        <row r="1954">
          <cell r="U1954">
            <v>465310</v>
          </cell>
          <cell r="V1954">
            <v>0</v>
          </cell>
        </row>
        <row r="1955">
          <cell r="U1955">
            <v>250830</v>
          </cell>
          <cell r="V1955">
            <v>0</v>
          </cell>
        </row>
        <row r="1956">
          <cell r="U1956">
            <v>146240</v>
          </cell>
          <cell r="V1956">
            <v>0</v>
          </cell>
        </row>
        <row r="1957">
          <cell r="U1957">
            <v>353360</v>
          </cell>
          <cell r="V1957">
            <v>0</v>
          </cell>
        </row>
        <row r="1958">
          <cell r="U1958">
            <v>366190</v>
          </cell>
          <cell r="V1958">
            <v>0</v>
          </cell>
        </row>
        <row r="1959">
          <cell r="U1959">
            <v>228810</v>
          </cell>
          <cell r="V1959">
            <v>0</v>
          </cell>
        </row>
        <row r="1960">
          <cell r="D1960">
            <v>86</v>
          </cell>
          <cell r="U1960">
            <v>31110</v>
          </cell>
          <cell r="V1960">
            <v>2675460</v>
          </cell>
        </row>
        <row r="1962">
          <cell r="D1962">
            <v>7</v>
          </cell>
          <cell r="U1962">
            <v>6120</v>
          </cell>
          <cell r="V1962">
            <v>42840</v>
          </cell>
        </row>
        <row r="1963">
          <cell r="U1963">
            <v>3260</v>
          </cell>
          <cell r="V1963">
            <v>0</v>
          </cell>
        </row>
        <row r="1964">
          <cell r="D1964">
            <v>5</v>
          </cell>
          <cell r="U1964">
            <v>12280</v>
          </cell>
          <cell r="V1964">
            <v>61400</v>
          </cell>
        </row>
        <row r="1965">
          <cell r="U1965">
            <v>125980</v>
          </cell>
          <cell r="V1965">
            <v>0</v>
          </cell>
        </row>
        <row r="1966">
          <cell r="U1966">
            <v>691940</v>
          </cell>
          <cell r="V196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2011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 refreshError="1"/>
      <sheetData sheetId="2">
        <row r="12">
          <cell r="D12">
            <v>48800</v>
          </cell>
        </row>
        <row r="13">
          <cell r="D13">
            <v>17963</v>
          </cell>
        </row>
        <row r="14">
          <cell r="D14">
            <v>20615</v>
          </cell>
        </row>
        <row r="15">
          <cell r="D15">
            <v>1225</v>
          </cell>
        </row>
        <row r="16">
          <cell r="D16">
            <v>0</v>
          </cell>
        </row>
        <row r="17">
          <cell r="D17">
            <v>1099</v>
          </cell>
        </row>
        <row r="18">
          <cell r="D18">
            <v>5154</v>
          </cell>
        </row>
        <row r="19">
          <cell r="D19">
            <v>4478</v>
          </cell>
        </row>
        <row r="20">
          <cell r="D20">
            <v>113</v>
          </cell>
        </row>
        <row r="21">
          <cell r="D21">
            <v>563</v>
          </cell>
        </row>
        <row r="22">
          <cell r="D22">
            <v>0</v>
          </cell>
        </row>
        <row r="23">
          <cell r="D23">
            <v>55</v>
          </cell>
        </row>
        <row r="24">
          <cell r="D24">
            <v>2689</v>
          </cell>
        </row>
        <row r="25">
          <cell r="D25">
            <v>4408</v>
          </cell>
        </row>
        <row r="26">
          <cell r="D26">
            <v>2637</v>
          </cell>
        </row>
        <row r="27">
          <cell r="D27">
            <v>1</v>
          </cell>
        </row>
        <row r="28">
          <cell r="D28">
            <v>428</v>
          </cell>
        </row>
        <row r="30">
          <cell r="D30">
            <v>1086</v>
          </cell>
        </row>
        <row r="31">
          <cell r="D31">
            <v>0</v>
          </cell>
        </row>
        <row r="32">
          <cell r="D32">
            <v>256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6">
          <cell r="F66">
            <v>0</v>
          </cell>
          <cell r="G66">
            <v>0</v>
          </cell>
          <cell r="H66">
            <v>0</v>
          </cell>
        </row>
        <row r="67">
          <cell r="F67">
            <v>114</v>
          </cell>
          <cell r="G67">
            <v>0</v>
          </cell>
          <cell r="H67">
            <v>0</v>
          </cell>
        </row>
        <row r="68">
          <cell r="F68">
            <v>15</v>
          </cell>
          <cell r="G68">
            <v>0</v>
          </cell>
          <cell r="H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</row>
        <row r="70">
          <cell r="F70">
            <v>91</v>
          </cell>
          <cell r="G70">
            <v>3</v>
          </cell>
          <cell r="H70">
            <v>0</v>
          </cell>
        </row>
        <row r="71">
          <cell r="F71">
            <v>133</v>
          </cell>
          <cell r="G71">
            <v>1</v>
          </cell>
          <cell r="H71">
            <v>0</v>
          </cell>
        </row>
        <row r="72">
          <cell r="F72">
            <v>1</v>
          </cell>
          <cell r="G72">
            <v>0</v>
          </cell>
          <cell r="H72">
            <v>0</v>
          </cell>
        </row>
        <row r="73">
          <cell r="F73">
            <v>1</v>
          </cell>
          <cell r="G73">
            <v>0</v>
          </cell>
          <cell r="H73">
            <v>0</v>
          </cell>
        </row>
        <row r="74">
          <cell r="F74">
            <v>168</v>
          </cell>
          <cell r="G74">
            <v>9</v>
          </cell>
          <cell r="H74">
            <v>0</v>
          </cell>
        </row>
        <row r="75">
          <cell r="F75">
            <v>14</v>
          </cell>
          <cell r="G75">
            <v>0</v>
          </cell>
          <cell r="H75">
            <v>0</v>
          </cell>
        </row>
        <row r="76">
          <cell r="F76">
            <v>32</v>
          </cell>
          <cell r="G76">
            <v>3</v>
          </cell>
          <cell r="H76">
            <v>0</v>
          </cell>
        </row>
        <row r="77">
          <cell r="F77">
            <v>5</v>
          </cell>
          <cell r="G77">
            <v>0</v>
          </cell>
          <cell r="H77">
            <v>0</v>
          </cell>
        </row>
        <row r="78">
          <cell r="F78">
            <v>33</v>
          </cell>
          <cell r="G78">
            <v>6</v>
          </cell>
          <cell r="H78">
            <v>0</v>
          </cell>
        </row>
        <row r="79">
          <cell r="F79">
            <v>55</v>
          </cell>
          <cell r="G79">
            <v>0</v>
          </cell>
          <cell r="H79">
            <v>0</v>
          </cell>
        </row>
        <row r="80">
          <cell r="F80">
            <v>40</v>
          </cell>
          <cell r="G80">
            <v>2</v>
          </cell>
          <cell r="H80">
            <v>0</v>
          </cell>
        </row>
        <row r="120">
          <cell r="E120">
            <v>1781</v>
          </cell>
        </row>
      </sheetData>
      <sheetData sheetId="3">
        <row r="13">
          <cell r="U13">
            <v>3710</v>
          </cell>
          <cell r="V13">
            <v>0</v>
          </cell>
        </row>
        <row r="14">
          <cell r="U14">
            <v>4670</v>
          </cell>
          <cell r="V14">
            <v>0</v>
          </cell>
        </row>
        <row r="15">
          <cell r="D15">
            <v>9016</v>
          </cell>
          <cell r="U15">
            <v>9990</v>
          </cell>
          <cell r="V15">
            <v>90069840</v>
          </cell>
        </row>
        <row r="16">
          <cell r="U16">
            <v>5970</v>
          </cell>
          <cell r="V16">
            <v>0</v>
          </cell>
        </row>
        <row r="17">
          <cell r="U17">
            <v>6550</v>
          </cell>
          <cell r="V17">
            <v>0</v>
          </cell>
        </row>
        <row r="18">
          <cell r="U18">
            <v>12540</v>
          </cell>
          <cell r="V18">
            <v>0</v>
          </cell>
        </row>
        <row r="19">
          <cell r="D19">
            <v>72</v>
          </cell>
          <cell r="U19">
            <v>12540</v>
          </cell>
          <cell r="V19">
            <v>902880</v>
          </cell>
        </row>
        <row r="20">
          <cell r="U20">
            <v>5040</v>
          </cell>
          <cell r="V20">
            <v>0</v>
          </cell>
        </row>
        <row r="21">
          <cell r="U21">
            <v>6050</v>
          </cell>
          <cell r="V21">
            <v>0</v>
          </cell>
        </row>
        <row r="22">
          <cell r="U22">
            <v>7510</v>
          </cell>
          <cell r="V22">
            <v>0</v>
          </cell>
        </row>
        <row r="23">
          <cell r="D23">
            <v>1604</v>
          </cell>
          <cell r="U23">
            <v>5040</v>
          </cell>
          <cell r="V23">
            <v>8084160</v>
          </cell>
        </row>
        <row r="24">
          <cell r="D24">
            <v>853</v>
          </cell>
          <cell r="U24">
            <v>6050</v>
          </cell>
          <cell r="V24">
            <v>5160650</v>
          </cell>
        </row>
        <row r="25">
          <cell r="D25">
            <v>2194</v>
          </cell>
          <cell r="U25">
            <v>7510</v>
          </cell>
          <cell r="V25">
            <v>16476940</v>
          </cell>
        </row>
        <row r="27">
          <cell r="D27">
            <v>1841</v>
          </cell>
          <cell r="U27">
            <v>990</v>
          </cell>
          <cell r="V27">
            <v>1822590</v>
          </cell>
        </row>
        <row r="28">
          <cell r="U28">
            <v>1680</v>
          </cell>
          <cell r="V28">
            <v>0</v>
          </cell>
        </row>
        <row r="29">
          <cell r="U29">
            <v>530</v>
          </cell>
          <cell r="V29">
            <v>0</v>
          </cell>
        </row>
        <row r="30">
          <cell r="D30">
            <v>27</v>
          </cell>
          <cell r="U30">
            <v>1340</v>
          </cell>
          <cell r="V30">
            <v>36180</v>
          </cell>
        </row>
        <row r="31">
          <cell r="D31">
            <v>1026</v>
          </cell>
          <cell r="U31">
            <v>1070</v>
          </cell>
          <cell r="V31">
            <v>1097820</v>
          </cell>
        </row>
        <row r="32">
          <cell r="U32">
            <v>990</v>
          </cell>
          <cell r="V32">
            <v>0</v>
          </cell>
        </row>
        <row r="34">
          <cell r="U34">
            <v>3230</v>
          </cell>
          <cell r="V34">
            <v>0</v>
          </cell>
        </row>
        <row r="35">
          <cell r="D35">
            <v>793</v>
          </cell>
          <cell r="U35">
            <v>1780</v>
          </cell>
          <cell r="V35">
            <v>1411540</v>
          </cell>
        </row>
        <row r="36">
          <cell r="D36">
            <v>3</v>
          </cell>
          <cell r="U36">
            <v>1780</v>
          </cell>
          <cell r="V36">
            <v>5340</v>
          </cell>
        </row>
        <row r="37">
          <cell r="D37">
            <v>608</v>
          </cell>
          <cell r="U37">
            <v>530</v>
          </cell>
          <cell r="V37">
            <v>322240</v>
          </cell>
        </row>
        <row r="39">
          <cell r="D39">
            <v>28</v>
          </cell>
          <cell r="U39">
            <v>1540</v>
          </cell>
          <cell r="V39">
            <v>43120</v>
          </cell>
        </row>
        <row r="40">
          <cell r="D40">
            <v>28</v>
          </cell>
          <cell r="U40">
            <v>1540</v>
          </cell>
          <cell r="V40">
            <v>43120</v>
          </cell>
        </row>
        <row r="41">
          <cell r="U41">
            <v>880</v>
          </cell>
          <cell r="V41">
            <v>0</v>
          </cell>
        </row>
        <row r="43">
          <cell r="D43">
            <v>2849</v>
          </cell>
          <cell r="U43">
            <v>680</v>
          </cell>
          <cell r="V43">
            <v>1937320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1200</v>
          </cell>
          <cell r="V47">
            <v>0</v>
          </cell>
        </row>
        <row r="48">
          <cell r="D48">
            <v>602</v>
          </cell>
          <cell r="U48">
            <v>580</v>
          </cell>
          <cell r="V48">
            <v>349160</v>
          </cell>
        </row>
        <row r="49">
          <cell r="D49">
            <v>1129</v>
          </cell>
          <cell r="U49">
            <v>1780</v>
          </cell>
          <cell r="V49">
            <v>2009620</v>
          </cell>
        </row>
        <row r="50">
          <cell r="D50">
            <v>40</v>
          </cell>
          <cell r="U50">
            <v>13350</v>
          </cell>
          <cell r="V50">
            <v>534000</v>
          </cell>
        </row>
        <row r="51">
          <cell r="D51">
            <v>92</v>
          </cell>
          <cell r="U51">
            <v>30660</v>
          </cell>
          <cell r="V51">
            <v>2820720</v>
          </cell>
        </row>
        <row r="52">
          <cell r="D52">
            <v>17</v>
          </cell>
          <cell r="V52">
            <v>130050</v>
          </cell>
        </row>
        <row r="59">
          <cell r="D59">
            <v>4907</v>
          </cell>
          <cell r="U59">
            <v>29340</v>
          </cell>
          <cell r="V59">
            <v>143971380</v>
          </cell>
        </row>
        <row r="60">
          <cell r="U60">
            <v>27010</v>
          </cell>
          <cell r="V60">
            <v>0</v>
          </cell>
        </row>
        <row r="61">
          <cell r="U61">
            <v>22520</v>
          </cell>
          <cell r="V61">
            <v>0</v>
          </cell>
        </row>
        <row r="62">
          <cell r="U62">
            <v>121970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277</v>
          </cell>
          <cell r="U65">
            <v>58920</v>
          </cell>
          <cell r="V65">
            <v>16320840</v>
          </cell>
        </row>
        <row r="66">
          <cell r="D66">
            <v>105</v>
          </cell>
          <cell r="V66">
            <v>6186600</v>
          </cell>
        </row>
        <row r="67">
          <cell r="V67">
            <v>0</v>
          </cell>
        </row>
        <row r="68">
          <cell r="D68">
            <v>135</v>
          </cell>
          <cell r="U68">
            <v>52860</v>
          </cell>
          <cell r="V68">
            <v>7136100</v>
          </cell>
        </row>
        <row r="69">
          <cell r="U69">
            <v>15000</v>
          </cell>
          <cell r="V69">
            <v>0</v>
          </cell>
        </row>
        <row r="70">
          <cell r="U70">
            <v>23500</v>
          </cell>
          <cell r="V70">
            <v>0</v>
          </cell>
        </row>
        <row r="71">
          <cell r="U71">
            <v>24460</v>
          </cell>
          <cell r="V71">
            <v>0</v>
          </cell>
        </row>
        <row r="72">
          <cell r="U72">
            <v>9860</v>
          </cell>
          <cell r="V72">
            <v>0</v>
          </cell>
        </row>
        <row r="73">
          <cell r="U73">
            <v>23690</v>
          </cell>
          <cell r="V73">
            <v>0</v>
          </cell>
        </row>
        <row r="74">
          <cell r="U74">
            <v>9860</v>
          </cell>
          <cell r="V74">
            <v>0</v>
          </cell>
        </row>
        <row r="75">
          <cell r="D75">
            <v>13</v>
          </cell>
          <cell r="U75">
            <v>4350</v>
          </cell>
          <cell r="V75">
            <v>56550</v>
          </cell>
        </row>
        <row r="76">
          <cell r="U76">
            <v>29340</v>
          </cell>
          <cell r="V76">
            <v>0</v>
          </cell>
        </row>
        <row r="77">
          <cell r="U77">
            <v>79320</v>
          </cell>
          <cell r="V77">
            <v>0</v>
          </cell>
        </row>
        <row r="78">
          <cell r="U78">
            <v>9360</v>
          </cell>
          <cell r="V78">
            <v>0</v>
          </cell>
        </row>
        <row r="79">
          <cell r="U79">
            <v>5690</v>
          </cell>
          <cell r="V79">
            <v>0</v>
          </cell>
        </row>
        <row r="80">
          <cell r="U80">
            <v>41110</v>
          </cell>
          <cell r="V80">
            <v>0</v>
          </cell>
        </row>
        <row r="81">
          <cell r="U81">
            <v>7210</v>
          </cell>
          <cell r="V81">
            <v>0</v>
          </cell>
        </row>
        <row r="83">
          <cell r="V83">
            <v>18273720</v>
          </cell>
        </row>
        <row r="174">
          <cell r="V174">
            <v>21366950</v>
          </cell>
        </row>
        <row r="243">
          <cell r="V243">
            <v>3785290</v>
          </cell>
        </row>
        <row r="289">
          <cell r="V289">
            <v>0</v>
          </cell>
        </row>
        <row r="295">
          <cell r="V295">
            <v>4529940</v>
          </cell>
        </row>
        <row r="362">
          <cell r="V362">
            <v>8875690</v>
          </cell>
        </row>
        <row r="405">
          <cell r="V405">
            <v>244690</v>
          </cell>
        </row>
        <row r="428">
          <cell r="V428">
            <v>2049890</v>
          </cell>
        </row>
        <row r="446">
          <cell r="V446">
            <v>0</v>
          </cell>
        </row>
        <row r="456">
          <cell r="V456">
            <v>97620</v>
          </cell>
        </row>
        <row r="500">
          <cell r="V500">
            <v>2966930</v>
          </cell>
        </row>
        <row r="535">
          <cell r="V535">
            <v>18560650</v>
          </cell>
        </row>
        <row r="590">
          <cell r="V590">
            <v>14410</v>
          </cell>
        </row>
        <row r="615">
          <cell r="V615">
            <v>19640570</v>
          </cell>
        </row>
        <row r="633">
          <cell r="V633">
            <v>17598950</v>
          </cell>
        </row>
        <row r="634">
          <cell r="V634">
            <v>0</v>
          </cell>
        </row>
        <row r="654">
          <cell r="V654">
            <v>0</v>
          </cell>
        </row>
        <row r="670">
          <cell r="V670">
            <v>0</v>
          </cell>
        </row>
        <row r="697">
          <cell r="V697">
            <v>0</v>
          </cell>
        </row>
        <row r="716">
          <cell r="V716">
            <v>0</v>
          </cell>
        </row>
        <row r="723">
          <cell r="V723">
            <v>0</v>
          </cell>
        </row>
        <row r="726">
          <cell r="V726">
            <v>0</v>
          </cell>
        </row>
        <row r="743">
          <cell r="V743">
            <v>0</v>
          </cell>
        </row>
        <row r="760">
          <cell r="V760">
            <v>0</v>
          </cell>
        </row>
        <row r="764">
          <cell r="D764">
            <v>349</v>
          </cell>
          <cell r="V764">
            <v>2009240</v>
          </cell>
        </row>
        <row r="779">
          <cell r="V779">
            <v>0</v>
          </cell>
        </row>
        <row r="791">
          <cell r="D791">
            <v>122</v>
          </cell>
          <cell r="U791">
            <v>6130</v>
          </cell>
          <cell r="V791">
            <v>747860</v>
          </cell>
        </row>
        <row r="792">
          <cell r="U792">
            <v>2400</v>
          </cell>
          <cell r="V792">
            <v>0</v>
          </cell>
        </row>
        <row r="793">
          <cell r="D793">
            <v>889</v>
          </cell>
          <cell r="U793">
            <v>2400</v>
          </cell>
          <cell r="V793">
            <v>2133600</v>
          </cell>
        </row>
        <row r="794">
          <cell r="U794">
            <v>9560</v>
          </cell>
          <cell r="V794">
            <v>0</v>
          </cell>
        </row>
        <row r="795">
          <cell r="D795">
            <v>11</v>
          </cell>
          <cell r="U795">
            <v>11200</v>
          </cell>
          <cell r="V795">
            <v>123200</v>
          </cell>
        </row>
        <row r="796">
          <cell r="U796">
            <v>25400</v>
          </cell>
          <cell r="V796">
            <v>0</v>
          </cell>
        </row>
        <row r="797">
          <cell r="U797">
            <v>2790</v>
          </cell>
          <cell r="V797">
            <v>0</v>
          </cell>
        </row>
        <row r="798">
          <cell r="U798">
            <v>6550</v>
          </cell>
          <cell r="V798">
            <v>0</v>
          </cell>
        </row>
        <row r="801">
          <cell r="U801">
            <v>12660</v>
          </cell>
          <cell r="V801">
            <v>0</v>
          </cell>
        </row>
        <row r="802">
          <cell r="D802">
            <v>15</v>
          </cell>
          <cell r="U802">
            <v>10140</v>
          </cell>
          <cell r="V802">
            <v>152100</v>
          </cell>
        </row>
        <row r="803">
          <cell r="U803">
            <v>343800</v>
          </cell>
          <cell r="V803">
            <v>0</v>
          </cell>
        </row>
        <row r="807">
          <cell r="V807">
            <v>0</v>
          </cell>
        </row>
        <row r="878">
          <cell r="V878">
            <v>35723990</v>
          </cell>
        </row>
        <row r="957">
          <cell r="V957">
            <v>1117020</v>
          </cell>
        </row>
        <row r="1032">
          <cell r="U1032">
            <v>8100</v>
          </cell>
          <cell r="V1032">
            <v>0</v>
          </cell>
        </row>
        <row r="1033">
          <cell r="V1033">
            <v>0</v>
          </cell>
        </row>
        <row r="1094">
          <cell r="V1094">
            <v>4065340</v>
          </cell>
        </row>
        <row r="1162">
          <cell r="V1162">
            <v>3438640</v>
          </cell>
        </row>
        <row r="1186">
          <cell r="D1186">
            <v>848</v>
          </cell>
          <cell r="U1186">
            <v>4340</v>
          </cell>
          <cell r="V1186">
            <v>3680320</v>
          </cell>
        </row>
        <row r="1187">
          <cell r="D1187">
            <v>41</v>
          </cell>
          <cell r="U1187">
            <v>12240</v>
          </cell>
          <cell r="V1187">
            <v>501840</v>
          </cell>
        </row>
        <row r="1188">
          <cell r="D1188">
            <v>53</v>
          </cell>
          <cell r="U1188">
            <v>20750</v>
          </cell>
          <cell r="V1188">
            <v>1099750</v>
          </cell>
        </row>
        <row r="1189">
          <cell r="U1189">
            <v>39600</v>
          </cell>
          <cell r="V1189">
            <v>0</v>
          </cell>
        </row>
        <row r="1190">
          <cell r="D1190">
            <v>98</v>
          </cell>
          <cell r="U1190">
            <v>44140</v>
          </cell>
          <cell r="V1190">
            <v>4325720</v>
          </cell>
        </row>
        <row r="1191">
          <cell r="U1191">
            <v>24760</v>
          </cell>
          <cell r="V1191">
            <v>0</v>
          </cell>
        </row>
        <row r="1192">
          <cell r="U1192">
            <v>191590</v>
          </cell>
          <cell r="V1192">
            <v>0</v>
          </cell>
        </row>
        <row r="1193">
          <cell r="U1193">
            <v>217800</v>
          </cell>
          <cell r="V1193">
            <v>0</v>
          </cell>
        </row>
        <row r="1194">
          <cell r="U1194">
            <v>177610</v>
          </cell>
          <cell r="V1194">
            <v>0</v>
          </cell>
        </row>
        <row r="1195">
          <cell r="U1195">
            <v>228130</v>
          </cell>
          <cell r="V1195">
            <v>0</v>
          </cell>
        </row>
        <row r="1196">
          <cell r="U1196">
            <v>233440</v>
          </cell>
          <cell r="V1196">
            <v>0</v>
          </cell>
        </row>
        <row r="1197">
          <cell r="U1197">
            <v>197410</v>
          </cell>
          <cell r="V1197">
            <v>0</v>
          </cell>
        </row>
        <row r="1198">
          <cell r="U1198">
            <v>210720</v>
          </cell>
          <cell r="V1198">
            <v>0</v>
          </cell>
        </row>
        <row r="1199">
          <cell r="U1199">
            <v>251960</v>
          </cell>
          <cell r="V1199">
            <v>0</v>
          </cell>
        </row>
        <row r="1200">
          <cell r="U1200">
            <v>223440</v>
          </cell>
          <cell r="V1200">
            <v>0</v>
          </cell>
        </row>
        <row r="1201">
          <cell r="U1201">
            <v>1635110</v>
          </cell>
          <cell r="V1201">
            <v>0</v>
          </cell>
        </row>
        <row r="1202">
          <cell r="U1202">
            <v>1021290</v>
          </cell>
          <cell r="V1202">
            <v>0</v>
          </cell>
        </row>
        <row r="1203">
          <cell r="U1203">
            <v>988490</v>
          </cell>
          <cell r="V1203">
            <v>0</v>
          </cell>
        </row>
        <row r="1204">
          <cell r="U1204">
            <v>1035570</v>
          </cell>
          <cell r="V1204">
            <v>0</v>
          </cell>
        </row>
        <row r="1205">
          <cell r="U1205">
            <v>146540</v>
          </cell>
          <cell r="V1205">
            <v>0</v>
          </cell>
        </row>
        <row r="1206">
          <cell r="U1206">
            <v>334400</v>
          </cell>
          <cell r="V1206">
            <v>0</v>
          </cell>
        </row>
        <row r="1207">
          <cell r="U1207">
            <v>123970</v>
          </cell>
          <cell r="V1207">
            <v>0</v>
          </cell>
        </row>
        <row r="1208">
          <cell r="U1208">
            <v>1004460</v>
          </cell>
          <cell r="V1208">
            <v>0</v>
          </cell>
        </row>
        <row r="1209">
          <cell r="U1209">
            <v>1004460</v>
          </cell>
          <cell r="V1209">
            <v>0</v>
          </cell>
        </row>
        <row r="1210">
          <cell r="V1210">
            <v>284390</v>
          </cell>
        </row>
        <row r="1276">
          <cell r="V1276">
            <v>100000</v>
          </cell>
        </row>
        <row r="1343">
          <cell r="D1343">
            <v>43</v>
          </cell>
          <cell r="U1343">
            <v>29960</v>
          </cell>
          <cell r="V1343">
            <v>1288280</v>
          </cell>
        </row>
        <row r="1344">
          <cell r="U1344">
            <v>36140</v>
          </cell>
          <cell r="V1344">
            <v>0</v>
          </cell>
        </row>
        <row r="1345">
          <cell r="D1345">
            <v>2</v>
          </cell>
          <cell r="U1345">
            <v>38490</v>
          </cell>
          <cell r="V1345">
            <v>76980</v>
          </cell>
        </row>
        <row r="1346">
          <cell r="V1346">
            <v>40494990</v>
          </cell>
        </row>
        <row r="1430">
          <cell r="V1430">
            <v>998440</v>
          </cell>
        </row>
        <row r="1470">
          <cell r="U1470">
            <v>36940</v>
          </cell>
          <cell r="V1470">
            <v>0</v>
          </cell>
        </row>
        <row r="1471">
          <cell r="U1471">
            <v>23230</v>
          </cell>
          <cell r="V1471">
            <v>0</v>
          </cell>
        </row>
        <row r="1472">
          <cell r="U1472">
            <v>23230</v>
          </cell>
          <cell r="V1472">
            <v>0</v>
          </cell>
        </row>
        <row r="1473">
          <cell r="U1473">
            <v>703680</v>
          </cell>
          <cell r="V1473">
            <v>0</v>
          </cell>
        </row>
        <row r="1474">
          <cell r="U1474">
            <v>498630</v>
          </cell>
          <cell r="V1474">
            <v>0</v>
          </cell>
        </row>
        <row r="1475">
          <cell r="U1475">
            <v>42450</v>
          </cell>
          <cell r="V1475">
            <v>0</v>
          </cell>
        </row>
        <row r="1476">
          <cell r="U1476">
            <v>573040</v>
          </cell>
          <cell r="V1476">
            <v>0</v>
          </cell>
        </row>
        <row r="1477">
          <cell r="V1477">
            <v>6024475</v>
          </cell>
        </row>
        <row r="1562">
          <cell r="V1562">
            <v>12203440</v>
          </cell>
        </row>
        <row r="1580">
          <cell r="V1580">
            <v>1044240</v>
          </cell>
        </row>
        <row r="1585">
          <cell r="V1585">
            <v>6274630</v>
          </cell>
        </row>
        <row r="1619">
          <cell r="V1619">
            <v>5881800</v>
          </cell>
        </row>
        <row r="1620">
          <cell r="V1620">
            <v>0</v>
          </cell>
        </row>
        <row r="1621">
          <cell r="D1621">
            <v>15</v>
          </cell>
          <cell r="V1621">
            <v>1299000</v>
          </cell>
        </row>
        <row r="1622">
          <cell r="D1622">
            <v>40</v>
          </cell>
          <cell r="V1622">
            <v>4582800</v>
          </cell>
        </row>
        <row r="1623">
          <cell r="V1623">
            <v>0</v>
          </cell>
        </row>
        <row r="1624">
          <cell r="D1624">
            <v>110</v>
          </cell>
          <cell r="U1624">
            <v>114560</v>
          </cell>
          <cell r="V1624">
            <v>12601600</v>
          </cell>
        </row>
        <row r="1625">
          <cell r="D1625">
            <v>9</v>
          </cell>
          <cell r="U1625">
            <v>120540</v>
          </cell>
          <cell r="V1625">
            <v>1084860</v>
          </cell>
        </row>
        <row r="1627">
          <cell r="V1627">
            <v>5130705</v>
          </cell>
        </row>
        <row r="1833">
          <cell r="D1833">
            <v>1</v>
          </cell>
          <cell r="F1833">
            <v>0</v>
          </cell>
          <cell r="G1833">
            <v>0</v>
          </cell>
          <cell r="V1833">
            <v>95660</v>
          </cell>
        </row>
        <row r="1837">
          <cell r="D1837">
            <v>23</v>
          </cell>
          <cell r="V1837">
            <v>1523110</v>
          </cell>
        </row>
        <row r="1849">
          <cell r="D1849">
            <v>58</v>
          </cell>
          <cell r="U1849">
            <v>24850</v>
          </cell>
          <cell r="V1849">
            <v>1441300</v>
          </cell>
        </row>
        <row r="1851">
          <cell r="D1851">
            <v>266</v>
          </cell>
          <cell r="U1851">
            <v>16380</v>
          </cell>
          <cell r="V1851">
            <v>4357080</v>
          </cell>
        </row>
        <row r="1852">
          <cell r="D1852">
            <v>156</v>
          </cell>
          <cell r="U1852">
            <v>51500</v>
          </cell>
          <cell r="V1852">
            <v>8034000</v>
          </cell>
        </row>
        <row r="1853">
          <cell r="U1853">
            <v>63840</v>
          </cell>
          <cell r="V1853">
            <v>0</v>
          </cell>
        </row>
        <row r="1854">
          <cell r="D1854">
            <v>187</v>
          </cell>
          <cell r="U1854">
            <v>2250</v>
          </cell>
          <cell r="V1854">
            <v>420750</v>
          </cell>
        </row>
        <row r="1855">
          <cell r="U1855">
            <v>70</v>
          </cell>
          <cell r="V1855">
            <v>0</v>
          </cell>
        </row>
        <row r="1856">
          <cell r="U1856">
            <v>135560</v>
          </cell>
          <cell r="V1856">
            <v>0</v>
          </cell>
        </row>
        <row r="1857">
          <cell r="U1857">
            <v>9220</v>
          </cell>
          <cell r="V1857">
            <v>0</v>
          </cell>
        </row>
        <row r="1859">
          <cell r="V1859">
            <v>6794270</v>
          </cell>
        </row>
        <row r="1876">
          <cell r="V1876">
            <v>4936550</v>
          </cell>
        </row>
        <row r="1895">
          <cell r="V1895">
            <v>1722630</v>
          </cell>
        </row>
        <row r="1920">
          <cell r="D1920">
            <v>291</v>
          </cell>
          <cell r="U1920">
            <v>17150</v>
          </cell>
          <cell r="V1920">
            <v>4990650</v>
          </cell>
        </row>
        <row r="1921">
          <cell r="U1921">
            <v>215070</v>
          </cell>
          <cell r="V1921">
            <v>0</v>
          </cell>
        </row>
        <row r="1923">
          <cell r="U1923">
            <v>219670</v>
          </cell>
          <cell r="V1923">
            <v>0</v>
          </cell>
        </row>
        <row r="1924">
          <cell r="U1924">
            <v>31220</v>
          </cell>
          <cell r="V1924">
            <v>0</v>
          </cell>
        </row>
        <row r="1925">
          <cell r="U1925">
            <v>117730</v>
          </cell>
          <cell r="V1925">
            <v>0</v>
          </cell>
        </row>
        <row r="1926">
          <cell r="U1926">
            <v>117730</v>
          </cell>
          <cell r="V1926">
            <v>0</v>
          </cell>
        </row>
        <row r="1927">
          <cell r="U1927">
            <v>214360</v>
          </cell>
          <cell r="V1927">
            <v>0</v>
          </cell>
        </row>
        <row r="1928">
          <cell r="U1928">
            <v>328960</v>
          </cell>
          <cell r="V1928">
            <v>0</v>
          </cell>
        </row>
        <row r="1929">
          <cell r="U1929">
            <v>561180</v>
          </cell>
          <cell r="V1929">
            <v>0</v>
          </cell>
        </row>
        <row r="1930">
          <cell r="U1930">
            <v>116880</v>
          </cell>
          <cell r="V1930">
            <v>0</v>
          </cell>
        </row>
        <row r="1931">
          <cell r="U1931">
            <v>315020</v>
          </cell>
          <cell r="V1931">
            <v>0</v>
          </cell>
        </row>
        <row r="1932">
          <cell r="U1932">
            <v>132640</v>
          </cell>
          <cell r="V1932">
            <v>0</v>
          </cell>
        </row>
        <row r="1933">
          <cell r="U1933">
            <v>115270</v>
          </cell>
          <cell r="V1933">
            <v>0</v>
          </cell>
        </row>
        <row r="1934">
          <cell r="U1934">
            <v>175240</v>
          </cell>
          <cell r="V1934">
            <v>0</v>
          </cell>
        </row>
        <row r="1935">
          <cell r="U1935">
            <v>46120</v>
          </cell>
          <cell r="V1935">
            <v>0</v>
          </cell>
        </row>
        <row r="1936">
          <cell r="U1936">
            <v>34460</v>
          </cell>
          <cell r="V1936">
            <v>0</v>
          </cell>
        </row>
        <row r="1937">
          <cell r="U1937">
            <v>188970</v>
          </cell>
          <cell r="V1937">
            <v>0</v>
          </cell>
        </row>
        <row r="1938">
          <cell r="U1938">
            <v>1124200</v>
          </cell>
          <cell r="V1938">
            <v>0</v>
          </cell>
        </row>
        <row r="1939">
          <cell r="U1939">
            <v>169610</v>
          </cell>
          <cell r="V1939">
            <v>0</v>
          </cell>
        </row>
        <row r="1940">
          <cell r="U1940">
            <v>149990</v>
          </cell>
          <cell r="V1940">
            <v>0</v>
          </cell>
        </row>
        <row r="1941">
          <cell r="U1941">
            <v>304480</v>
          </cell>
          <cell r="V1941">
            <v>0</v>
          </cell>
        </row>
        <row r="1942">
          <cell r="U1942">
            <v>1012520</v>
          </cell>
          <cell r="V1942">
            <v>0</v>
          </cell>
        </row>
        <row r="1943">
          <cell r="U1943">
            <v>1040530</v>
          </cell>
          <cell r="V1943">
            <v>0</v>
          </cell>
        </row>
        <row r="1944">
          <cell r="U1944">
            <v>823870</v>
          </cell>
          <cell r="V1944">
            <v>0</v>
          </cell>
        </row>
        <row r="1945">
          <cell r="U1945">
            <v>868290</v>
          </cell>
          <cell r="V1945">
            <v>0</v>
          </cell>
        </row>
        <row r="1946">
          <cell r="U1946">
            <v>342530</v>
          </cell>
          <cell r="V1946">
            <v>0</v>
          </cell>
        </row>
        <row r="1947">
          <cell r="U1947">
            <v>82030</v>
          </cell>
          <cell r="V1947">
            <v>0</v>
          </cell>
        </row>
        <row r="1948">
          <cell r="U1948">
            <v>244730</v>
          </cell>
          <cell r="V1948">
            <v>0</v>
          </cell>
        </row>
        <row r="1949">
          <cell r="U1949">
            <v>69200</v>
          </cell>
          <cell r="V1949">
            <v>0</v>
          </cell>
        </row>
        <row r="1950">
          <cell r="U1950">
            <v>1189020</v>
          </cell>
          <cell r="V1950">
            <v>0</v>
          </cell>
        </row>
        <row r="1951">
          <cell r="U1951">
            <v>278030</v>
          </cell>
          <cell r="V1951">
            <v>0</v>
          </cell>
        </row>
        <row r="1952">
          <cell r="U1952">
            <v>931380</v>
          </cell>
          <cell r="V1952">
            <v>0</v>
          </cell>
        </row>
        <row r="1953">
          <cell r="U1953">
            <v>570190</v>
          </cell>
          <cell r="V1953">
            <v>0</v>
          </cell>
        </row>
        <row r="1954">
          <cell r="U1954">
            <v>465310</v>
          </cell>
          <cell r="V1954">
            <v>0</v>
          </cell>
        </row>
        <row r="1955">
          <cell r="U1955">
            <v>250830</v>
          </cell>
          <cell r="V1955">
            <v>0</v>
          </cell>
        </row>
        <row r="1956">
          <cell r="U1956">
            <v>146240</v>
          </cell>
          <cell r="V1956">
            <v>0</v>
          </cell>
        </row>
        <row r="1957">
          <cell r="U1957">
            <v>353360</v>
          </cell>
          <cell r="V1957">
            <v>0</v>
          </cell>
        </row>
        <row r="1958">
          <cell r="U1958">
            <v>366190</v>
          </cell>
          <cell r="V1958">
            <v>0</v>
          </cell>
        </row>
        <row r="1959">
          <cell r="U1959">
            <v>228810</v>
          </cell>
          <cell r="V1959">
            <v>0</v>
          </cell>
        </row>
        <row r="1960">
          <cell r="D1960">
            <v>93</v>
          </cell>
          <cell r="U1960">
            <v>31110</v>
          </cell>
          <cell r="V1960">
            <v>2893230</v>
          </cell>
        </row>
        <row r="1962">
          <cell r="D1962">
            <v>6</v>
          </cell>
          <cell r="U1962">
            <v>6120</v>
          </cell>
          <cell r="V1962">
            <v>36720</v>
          </cell>
        </row>
        <row r="1963">
          <cell r="U1963">
            <v>3260</v>
          </cell>
          <cell r="V1963">
            <v>0</v>
          </cell>
        </row>
        <row r="1964">
          <cell r="D1964">
            <v>5</v>
          </cell>
          <cell r="U1964">
            <v>12280</v>
          </cell>
          <cell r="V1964">
            <v>61400</v>
          </cell>
        </row>
        <row r="1965">
          <cell r="U1965">
            <v>125980</v>
          </cell>
          <cell r="V1965">
            <v>0</v>
          </cell>
        </row>
        <row r="1966">
          <cell r="U1966">
            <v>691940</v>
          </cell>
          <cell r="V196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2011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 refreshError="1"/>
      <sheetData sheetId="2">
        <row r="12">
          <cell r="D12">
            <v>46994</v>
          </cell>
        </row>
        <row r="13">
          <cell r="D13">
            <v>17917</v>
          </cell>
        </row>
        <row r="14">
          <cell r="D14">
            <v>19595</v>
          </cell>
        </row>
        <row r="15">
          <cell r="D15">
            <v>1108</v>
          </cell>
        </row>
        <row r="16">
          <cell r="D16">
            <v>0</v>
          </cell>
        </row>
        <row r="17">
          <cell r="D17">
            <v>1014</v>
          </cell>
        </row>
        <row r="18">
          <cell r="D18">
            <v>4666</v>
          </cell>
        </row>
        <row r="19">
          <cell r="D19">
            <v>3967</v>
          </cell>
        </row>
        <row r="20">
          <cell r="D20">
            <v>76</v>
          </cell>
        </row>
        <row r="21">
          <cell r="D21">
            <v>623</v>
          </cell>
        </row>
        <row r="22">
          <cell r="D22">
            <v>0</v>
          </cell>
        </row>
        <row r="23">
          <cell r="D23">
            <v>70</v>
          </cell>
        </row>
        <row r="24">
          <cell r="D24">
            <v>2624</v>
          </cell>
        </row>
        <row r="25">
          <cell r="D25">
            <v>4137</v>
          </cell>
        </row>
        <row r="26">
          <cell r="D26">
            <v>2753</v>
          </cell>
        </row>
        <row r="27">
          <cell r="D27">
            <v>1</v>
          </cell>
        </row>
        <row r="28">
          <cell r="D28">
            <v>351</v>
          </cell>
        </row>
        <row r="30">
          <cell r="D30">
            <v>788</v>
          </cell>
        </row>
        <row r="31">
          <cell r="D31">
            <v>0</v>
          </cell>
        </row>
        <row r="32">
          <cell r="D32">
            <v>244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6">
          <cell r="F66">
            <v>0</v>
          </cell>
          <cell r="G66">
            <v>0</v>
          </cell>
          <cell r="H66">
            <v>0</v>
          </cell>
        </row>
        <row r="67">
          <cell r="F67">
            <v>93</v>
          </cell>
          <cell r="G67">
            <v>0</v>
          </cell>
          <cell r="H67">
            <v>0</v>
          </cell>
        </row>
        <row r="68">
          <cell r="F68">
            <v>16</v>
          </cell>
          <cell r="G68">
            <v>0</v>
          </cell>
          <cell r="H68">
            <v>0</v>
          </cell>
        </row>
        <row r="69">
          <cell r="F69">
            <v>8</v>
          </cell>
          <cell r="G69">
            <v>0</v>
          </cell>
          <cell r="H69">
            <v>0</v>
          </cell>
        </row>
        <row r="70">
          <cell r="F70">
            <v>89</v>
          </cell>
          <cell r="G70">
            <v>3</v>
          </cell>
          <cell r="H70">
            <v>0</v>
          </cell>
        </row>
        <row r="71">
          <cell r="F71">
            <v>109</v>
          </cell>
          <cell r="G71">
            <v>0</v>
          </cell>
          <cell r="H71">
            <v>0</v>
          </cell>
        </row>
        <row r="72">
          <cell r="F72">
            <v>1</v>
          </cell>
          <cell r="G72">
            <v>0</v>
          </cell>
          <cell r="H72">
            <v>0</v>
          </cell>
        </row>
        <row r="73">
          <cell r="F73">
            <v>7</v>
          </cell>
          <cell r="G73">
            <v>1</v>
          </cell>
          <cell r="H73">
            <v>0</v>
          </cell>
        </row>
        <row r="74">
          <cell r="F74">
            <v>203</v>
          </cell>
          <cell r="G74">
            <v>11</v>
          </cell>
          <cell r="H74">
            <v>0</v>
          </cell>
        </row>
        <row r="75">
          <cell r="F75">
            <v>10</v>
          </cell>
          <cell r="G75">
            <v>0</v>
          </cell>
          <cell r="H75">
            <v>0</v>
          </cell>
        </row>
        <row r="76">
          <cell r="F76">
            <v>21</v>
          </cell>
          <cell r="G76">
            <v>1</v>
          </cell>
          <cell r="H76">
            <v>0</v>
          </cell>
        </row>
        <row r="77">
          <cell r="F77">
            <v>5</v>
          </cell>
          <cell r="G77">
            <v>0</v>
          </cell>
          <cell r="H77">
            <v>0</v>
          </cell>
        </row>
        <row r="78">
          <cell r="F78">
            <v>49</v>
          </cell>
          <cell r="G78">
            <v>10</v>
          </cell>
          <cell r="H78">
            <v>0</v>
          </cell>
        </row>
        <row r="79">
          <cell r="F79">
            <v>47</v>
          </cell>
          <cell r="G79">
            <v>0</v>
          </cell>
          <cell r="H79">
            <v>0</v>
          </cell>
        </row>
        <row r="80">
          <cell r="F80">
            <v>45</v>
          </cell>
          <cell r="G80">
            <v>1</v>
          </cell>
          <cell r="H80">
            <v>0</v>
          </cell>
        </row>
        <row r="120">
          <cell r="E120">
            <v>928</v>
          </cell>
        </row>
      </sheetData>
      <sheetData sheetId="3">
        <row r="13">
          <cell r="U13">
            <v>3710</v>
          </cell>
          <cell r="V13">
            <v>0</v>
          </cell>
        </row>
        <row r="14">
          <cell r="U14">
            <v>4670</v>
          </cell>
          <cell r="V14">
            <v>0</v>
          </cell>
        </row>
        <row r="15">
          <cell r="D15">
            <v>8859</v>
          </cell>
          <cell r="U15">
            <v>9990</v>
          </cell>
          <cell r="V15">
            <v>88501410</v>
          </cell>
        </row>
        <row r="16">
          <cell r="U16">
            <v>5970</v>
          </cell>
          <cell r="V16">
            <v>0</v>
          </cell>
        </row>
        <row r="17">
          <cell r="U17">
            <v>6550</v>
          </cell>
          <cell r="V17">
            <v>0</v>
          </cell>
        </row>
        <row r="18">
          <cell r="U18">
            <v>12540</v>
          </cell>
          <cell r="V18">
            <v>0</v>
          </cell>
        </row>
        <row r="19">
          <cell r="D19">
            <v>196</v>
          </cell>
          <cell r="U19">
            <v>12540</v>
          </cell>
          <cell r="V19">
            <v>2457840</v>
          </cell>
        </row>
        <row r="20">
          <cell r="U20">
            <v>5040</v>
          </cell>
          <cell r="V20">
            <v>0</v>
          </cell>
        </row>
        <row r="21">
          <cell r="U21">
            <v>6050</v>
          </cell>
          <cell r="V21">
            <v>0</v>
          </cell>
        </row>
        <row r="22">
          <cell r="U22">
            <v>7510</v>
          </cell>
          <cell r="V22">
            <v>0</v>
          </cell>
        </row>
        <row r="23">
          <cell r="D23">
            <v>1414</v>
          </cell>
          <cell r="U23">
            <v>5040</v>
          </cell>
          <cell r="V23">
            <v>7126560</v>
          </cell>
        </row>
        <row r="24">
          <cell r="D24">
            <v>815</v>
          </cell>
          <cell r="U24">
            <v>6050</v>
          </cell>
          <cell r="V24">
            <v>4930750</v>
          </cell>
        </row>
        <row r="25">
          <cell r="D25">
            <v>2008</v>
          </cell>
          <cell r="U25">
            <v>7510</v>
          </cell>
          <cell r="V25">
            <v>15080080</v>
          </cell>
        </row>
        <row r="27">
          <cell r="D27">
            <v>1566</v>
          </cell>
          <cell r="U27">
            <v>990</v>
          </cell>
          <cell r="V27">
            <v>1550340</v>
          </cell>
        </row>
        <row r="28">
          <cell r="U28">
            <v>1680</v>
          </cell>
          <cell r="V28">
            <v>0</v>
          </cell>
        </row>
        <row r="29">
          <cell r="U29">
            <v>530</v>
          </cell>
          <cell r="V29">
            <v>0</v>
          </cell>
        </row>
        <row r="30">
          <cell r="D30">
            <v>34</v>
          </cell>
          <cell r="U30">
            <v>1340</v>
          </cell>
          <cell r="V30">
            <v>45560</v>
          </cell>
        </row>
        <row r="31">
          <cell r="D31">
            <v>1119</v>
          </cell>
          <cell r="U31">
            <v>1070</v>
          </cell>
          <cell r="V31">
            <v>1197330</v>
          </cell>
        </row>
        <row r="32">
          <cell r="U32">
            <v>990</v>
          </cell>
          <cell r="V32">
            <v>0</v>
          </cell>
        </row>
        <row r="34">
          <cell r="U34">
            <v>3230</v>
          </cell>
          <cell r="V34">
            <v>0</v>
          </cell>
        </row>
        <row r="35">
          <cell r="D35">
            <v>582</v>
          </cell>
          <cell r="U35">
            <v>1780</v>
          </cell>
          <cell r="V35">
            <v>1035960</v>
          </cell>
        </row>
        <row r="36">
          <cell r="D36">
            <v>2</v>
          </cell>
          <cell r="U36">
            <v>1780</v>
          </cell>
          <cell r="V36">
            <v>3560</v>
          </cell>
        </row>
        <row r="37">
          <cell r="D37">
            <v>676</v>
          </cell>
          <cell r="U37">
            <v>530</v>
          </cell>
          <cell r="V37">
            <v>358280</v>
          </cell>
        </row>
        <row r="39">
          <cell r="D39">
            <v>27</v>
          </cell>
          <cell r="U39">
            <v>1540</v>
          </cell>
          <cell r="V39">
            <v>41580</v>
          </cell>
        </row>
        <row r="40">
          <cell r="D40">
            <v>33</v>
          </cell>
          <cell r="U40">
            <v>1540</v>
          </cell>
          <cell r="V40">
            <v>50820</v>
          </cell>
        </row>
        <row r="41">
          <cell r="U41">
            <v>880</v>
          </cell>
          <cell r="V41">
            <v>0</v>
          </cell>
        </row>
        <row r="43">
          <cell r="D43">
            <v>2597</v>
          </cell>
          <cell r="U43">
            <v>680</v>
          </cell>
          <cell r="V43">
            <v>1765960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1200</v>
          </cell>
          <cell r="V47">
            <v>0</v>
          </cell>
        </row>
        <row r="48">
          <cell r="D48">
            <v>472</v>
          </cell>
          <cell r="U48">
            <v>580</v>
          </cell>
          <cell r="V48">
            <v>273760</v>
          </cell>
        </row>
        <row r="49">
          <cell r="D49">
            <v>926</v>
          </cell>
          <cell r="U49">
            <v>1780</v>
          </cell>
          <cell r="V49">
            <v>1648280</v>
          </cell>
        </row>
        <row r="50">
          <cell r="D50">
            <v>40</v>
          </cell>
          <cell r="U50">
            <v>13350</v>
          </cell>
          <cell r="V50">
            <v>534000</v>
          </cell>
        </row>
        <row r="51">
          <cell r="D51">
            <v>92</v>
          </cell>
          <cell r="U51">
            <v>30660</v>
          </cell>
          <cell r="V51">
            <v>2820720</v>
          </cell>
        </row>
        <row r="52">
          <cell r="D52">
            <v>10</v>
          </cell>
          <cell r="V52">
            <v>76500</v>
          </cell>
        </row>
        <row r="59">
          <cell r="D59">
            <v>4962</v>
          </cell>
          <cell r="U59">
            <v>29340</v>
          </cell>
          <cell r="V59">
            <v>145585080</v>
          </cell>
        </row>
        <row r="60">
          <cell r="U60">
            <v>27010</v>
          </cell>
          <cell r="V60">
            <v>0</v>
          </cell>
        </row>
        <row r="61">
          <cell r="U61">
            <v>22520</v>
          </cell>
          <cell r="V61">
            <v>0</v>
          </cell>
        </row>
        <row r="62">
          <cell r="U62">
            <v>121970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157</v>
          </cell>
          <cell r="U65">
            <v>58920</v>
          </cell>
          <cell r="V65">
            <v>9250440</v>
          </cell>
        </row>
        <row r="66">
          <cell r="D66">
            <v>140</v>
          </cell>
          <cell r="V66">
            <v>8248800</v>
          </cell>
        </row>
        <row r="67">
          <cell r="V67">
            <v>0</v>
          </cell>
        </row>
        <row r="68">
          <cell r="D68">
            <v>144</v>
          </cell>
          <cell r="U68">
            <v>52860</v>
          </cell>
          <cell r="V68">
            <v>7611840</v>
          </cell>
        </row>
        <row r="69">
          <cell r="U69">
            <v>15000</v>
          </cell>
          <cell r="V69">
            <v>0</v>
          </cell>
        </row>
        <row r="70">
          <cell r="U70">
            <v>23500</v>
          </cell>
          <cell r="V70">
            <v>0</v>
          </cell>
        </row>
        <row r="71">
          <cell r="U71">
            <v>24460</v>
          </cell>
          <cell r="V71">
            <v>0</v>
          </cell>
        </row>
        <row r="72">
          <cell r="U72">
            <v>9860</v>
          </cell>
          <cell r="V72">
            <v>0</v>
          </cell>
        </row>
        <row r="73">
          <cell r="U73">
            <v>23690</v>
          </cell>
          <cell r="V73">
            <v>0</v>
          </cell>
        </row>
        <row r="74">
          <cell r="U74">
            <v>9860</v>
          </cell>
          <cell r="V74">
            <v>0</v>
          </cell>
        </row>
        <row r="75">
          <cell r="D75">
            <v>19</v>
          </cell>
          <cell r="U75">
            <v>4350</v>
          </cell>
          <cell r="V75">
            <v>82650</v>
          </cell>
        </row>
        <row r="76">
          <cell r="U76">
            <v>29340</v>
          </cell>
          <cell r="V76">
            <v>0</v>
          </cell>
        </row>
        <row r="77">
          <cell r="U77">
            <v>79320</v>
          </cell>
          <cell r="V77">
            <v>0</v>
          </cell>
        </row>
        <row r="78">
          <cell r="U78">
            <v>9360</v>
          </cell>
          <cell r="V78">
            <v>0</v>
          </cell>
        </row>
        <row r="79">
          <cell r="U79">
            <v>5690</v>
          </cell>
          <cell r="V79">
            <v>0</v>
          </cell>
        </row>
        <row r="80">
          <cell r="U80">
            <v>41110</v>
          </cell>
          <cell r="V80">
            <v>0</v>
          </cell>
        </row>
        <row r="81">
          <cell r="U81">
            <v>7210</v>
          </cell>
          <cell r="V81">
            <v>0</v>
          </cell>
        </row>
        <row r="83">
          <cell r="V83">
            <v>18678000</v>
          </cell>
        </row>
        <row r="174">
          <cell r="V174">
            <v>20158700</v>
          </cell>
        </row>
        <row r="243">
          <cell r="V243">
            <v>3440860</v>
          </cell>
        </row>
        <row r="289">
          <cell r="V289">
            <v>0</v>
          </cell>
        </row>
        <row r="295">
          <cell r="V295">
            <v>4154220</v>
          </cell>
        </row>
        <row r="362">
          <cell r="V362">
            <v>7939050</v>
          </cell>
        </row>
        <row r="405">
          <cell r="V405">
            <v>172380</v>
          </cell>
        </row>
        <row r="428">
          <cell r="V428">
            <v>2266220</v>
          </cell>
        </row>
        <row r="446">
          <cell r="V446">
            <v>0</v>
          </cell>
        </row>
        <row r="456">
          <cell r="V456">
            <v>119600</v>
          </cell>
        </row>
        <row r="500">
          <cell r="V500">
            <v>2876140</v>
          </cell>
        </row>
        <row r="535">
          <cell r="V535">
            <v>19469420</v>
          </cell>
        </row>
        <row r="590">
          <cell r="V590">
            <v>20690</v>
          </cell>
        </row>
        <row r="615">
          <cell r="V615">
            <v>15797810</v>
          </cell>
        </row>
        <row r="633">
          <cell r="V633">
            <v>13638940</v>
          </cell>
        </row>
        <row r="634">
          <cell r="V634">
            <v>0</v>
          </cell>
        </row>
        <row r="654">
          <cell r="V654">
            <v>0</v>
          </cell>
        </row>
        <row r="670">
          <cell r="V670">
            <v>0</v>
          </cell>
        </row>
        <row r="697">
          <cell r="V697">
            <v>0</v>
          </cell>
        </row>
        <row r="716">
          <cell r="V716">
            <v>0</v>
          </cell>
        </row>
        <row r="723">
          <cell r="V723">
            <v>0</v>
          </cell>
        </row>
        <row r="726">
          <cell r="V726">
            <v>0</v>
          </cell>
        </row>
        <row r="743">
          <cell r="V743">
            <v>0</v>
          </cell>
        </row>
        <row r="760">
          <cell r="V760">
            <v>0</v>
          </cell>
        </row>
        <row r="764">
          <cell r="D764">
            <v>494</v>
          </cell>
          <cell r="V764">
            <v>3043560</v>
          </cell>
        </row>
        <row r="779">
          <cell r="V779">
            <v>0</v>
          </cell>
        </row>
        <row r="791">
          <cell r="D791">
            <v>113</v>
          </cell>
          <cell r="U791">
            <v>6130</v>
          </cell>
          <cell r="V791">
            <v>692690</v>
          </cell>
        </row>
        <row r="792">
          <cell r="U792">
            <v>2400</v>
          </cell>
          <cell r="V792">
            <v>0</v>
          </cell>
        </row>
        <row r="793">
          <cell r="D793">
            <v>719</v>
          </cell>
          <cell r="U793">
            <v>2400</v>
          </cell>
          <cell r="V793">
            <v>1725600</v>
          </cell>
        </row>
        <row r="794">
          <cell r="D794">
            <v>1</v>
          </cell>
          <cell r="U794">
            <v>9560</v>
          </cell>
          <cell r="V794">
            <v>9560</v>
          </cell>
        </row>
        <row r="795">
          <cell r="D795">
            <v>20</v>
          </cell>
          <cell r="U795">
            <v>11200</v>
          </cell>
          <cell r="V795">
            <v>224000</v>
          </cell>
        </row>
        <row r="796">
          <cell r="U796">
            <v>25400</v>
          </cell>
          <cell r="V796">
            <v>0</v>
          </cell>
        </row>
        <row r="797">
          <cell r="U797">
            <v>2790</v>
          </cell>
          <cell r="V797">
            <v>0</v>
          </cell>
        </row>
        <row r="798">
          <cell r="U798">
            <v>6550</v>
          </cell>
          <cell r="V798">
            <v>0</v>
          </cell>
        </row>
        <row r="801">
          <cell r="U801">
            <v>12660</v>
          </cell>
          <cell r="V801">
            <v>0</v>
          </cell>
        </row>
        <row r="802">
          <cell r="D802">
            <v>10</v>
          </cell>
          <cell r="U802">
            <v>10140</v>
          </cell>
          <cell r="V802">
            <v>101400</v>
          </cell>
        </row>
        <row r="803">
          <cell r="U803">
            <v>343800</v>
          </cell>
          <cell r="V803">
            <v>0</v>
          </cell>
        </row>
        <row r="807">
          <cell r="V807">
            <v>0</v>
          </cell>
        </row>
        <row r="878">
          <cell r="V878">
            <v>34643820</v>
          </cell>
        </row>
        <row r="957">
          <cell r="V957">
            <v>1309290</v>
          </cell>
        </row>
        <row r="1032">
          <cell r="U1032">
            <v>8100</v>
          </cell>
          <cell r="V1032">
            <v>0</v>
          </cell>
        </row>
        <row r="1033">
          <cell r="V1033">
            <v>150020</v>
          </cell>
        </row>
        <row r="1094">
          <cell r="V1094">
            <v>4326725</v>
          </cell>
        </row>
        <row r="1162">
          <cell r="V1162">
            <v>2800990</v>
          </cell>
        </row>
        <row r="1186">
          <cell r="D1186">
            <v>722</v>
          </cell>
          <cell r="U1186">
            <v>4340</v>
          </cell>
          <cell r="V1186">
            <v>3133480</v>
          </cell>
        </row>
        <row r="1187">
          <cell r="D1187">
            <v>18</v>
          </cell>
          <cell r="U1187">
            <v>12240</v>
          </cell>
          <cell r="V1187">
            <v>220320</v>
          </cell>
        </row>
        <row r="1188">
          <cell r="D1188">
            <v>28</v>
          </cell>
          <cell r="U1188">
            <v>20750</v>
          </cell>
          <cell r="V1188">
            <v>581000</v>
          </cell>
        </row>
        <row r="1189">
          <cell r="U1189">
            <v>39600</v>
          </cell>
          <cell r="V1189">
            <v>0</v>
          </cell>
        </row>
        <row r="1190">
          <cell r="D1190">
            <v>68</v>
          </cell>
          <cell r="U1190">
            <v>44140</v>
          </cell>
          <cell r="V1190">
            <v>3001520</v>
          </cell>
        </row>
        <row r="1191">
          <cell r="U1191">
            <v>24760</v>
          </cell>
          <cell r="V1191">
            <v>0</v>
          </cell>
        </row>
        <row r="1192">
          <cell r="U1192">
            <v>191590</v>
          </cell>
          <cell r="V1192">
            <v>0</v>
          </cell>
        </row>
        <row r="1193">
          <cell r="U1193">
            <v>217800</v>
          </cell>
          <cell r="V1193">
            <v>0</v>
          </cell>
        </row>
        <row r="1194">
          <cell r="U1194">
            <v>177610</v>
          </cell>
          <cell r="V1194">
            <v>0</v>
          </cell>
        </row>
        <row r="1195">
          <cell r="U1195">
            <v>228130</v>
          </cell>
          <cell r="V1195">
            <v>0</v>
          </cell>
        </row>
        <row r="1196">
          <cell r="U1196">
            <v>233440</v>
          </cell>
          <cell r="V1196">
            <v>0</v>
          </cell>
        </row>
        <row r="1197">
          <cell r="U1197">
            <v>197410</v>
          </cell>
          <cell r="V1197">
            <v>0</v>
          </cell>
        </row>
        <row r="1198">
          <cell r="U1198">
            <v>210720</v>
          </cell>
          <cell r="V1198">
            <v>0</v>
          </cell>
        </row>
        <row r="1199">
          <cell r="U1199">
            <v>251960</v>
          </cell>
          <cell r="V1199">
            <v>0</v>
          </cell>
        </row>
        <row r="1200">
          <cell r="U1200">
            <v>223440</v>
          </cell>
          <cell r="V1200">
            <v>0</v>
          </cell>
        </row>
        <row r="1201">
          <cell r="U1201">
            <v>1635110</v>
          </cell>
          <cell r="V1201">
            <v>0</v>
          </cell>
        </row>
        <row r="1202">
          <cell r="U1202">
            <v>1021290</v>
          </cell>
          <cell r="V1202">
            <v>0</v>
          </cell>
        </row>
        <row r="1203">
          <cell r="U1203">
            <v>988490</v>
          </cell>
          <cell r="V1203">
            <v>0</v>
          </cell>
        </row>
        <row r="1204">
          <cell r="U1204">
            <v>1035570</v>
          </cell>
          <cell r="V1204">
            <v>0</v>
          </cell>
        </row>
        <row r="1205">
          <cell r="U1205">
            <v>146540</v>
          </cell>
          <cell r="V1205">
            <v>0</v>
          </cell>
        </row>
        <row r="1206">
          <cell r="U1206">
            <v>334400</v>
          </cell>
          <cell r="V1206">
            <v>0</v>
          </cell>
        </row>
        <row r="1207">
          <cell r="U1207">
            <v>123970</v>
          </cell>
          <cell r="V1207">
            <v>0</v>
          </cell>
        </row>
        <row r="1208">
          <cell r="U1208">
            <v>1004460</v>
          </cell>
          <cell r="V1208">
            <v>0</v>
          </cell>
        </row>
        <row r="1209">
          <cell r="U1209">
            <v>1004460</v>
          </cell>
          <cell r="V1209">
            <v>0</v>
          </cell>
        </row>
        <row r="1210">
          <cell r="V1210">
            <v>365880</v>
          </cell>
        </row>
        <row r="1276">
          <cell r="V1276">
            <v>903830</v>
          </cell>
        </row>
        <row r="1343">
          <cell r="D1343">
            <v>35</v>
          </cell>
          <cell r="U1343">
            <v>29960</v>
          </cell>
          <cell r="V1343">
            <v>1048600</v>
          </cell>
        </row>
        <row r="1344">
          <cell r="U1344">
            <v>36140</v>
          </cell>
          <cell r="V1344">
            <v>0</v>
          </cell>
        </row>
        <row r="1345">
          <cell r="D1345">
            <v>4</v>
          </cell>
          <cell r="U1345">
            <v>38490</v>
          </cell>
          <cell r="V1345">
            <v>153960</v>
          </cell>
        </row>
        <row r="1346">
          <cell r="V1346">
            <v>45515475</v>
          </cell>
        </row>
        <row r="1430">
          <cell r="V1430">
            <v>713870</v>
          </cell>
        </row>
        <row r="1470">
          <cell r="U1470">
            <v>36940</v>
          </cell>
          <cell r="V1470">
            <v>0</v>
          </cell>
        </row>
        <row r="1471">
          <cell r="U1471">
            <v>23230</v>
          </cell>
          <cell r="V1471">
            <v>0</v>
          </cell>
        </row>
        <row r="1472">
          <cell r="U1472">
            <v>23230</v>
          </cell>
          <cell r="V1472">
            <v>0</v>
          </cell>
        </row>
        <row r="1473">
          <cell r="U1473">
            <v>703680</v>
          </cell>
          <cell r="V1473">
            <v>0</v>
          </cell>
        </row>
        <row r="1474">
          <cell r="U1474">
            <v>498630</v>
          </cell>
          <cell r="V1474">
            <v>0</v>
          </cell>
        </row>
        <row r="1475">
          <cell r="U1475">
            <v>42450</v>
          </cell>
          <cell r="V1475">
            <v>0</v>
          </cell>
        </row>
        <row r="1476">
          <cell r="U1476">
            <v>573040</v>
          </cell>
          <cell r="V1476">
            <v>0</v>
          </cell>
        </row>
        <row r="1477">
          <cell r="V1477">
            <v>3414300</v>
          </cell>
        </row>
        <row r="1562">
          <cell r="V1562">
            <v>6710420</v>
          </cell>
        </row>
        <row r="1580">
          <cell r="V1580">
            <v>872240</v>
          </cell>
        </row>
        <row r="1585">
          <cell r="V1585">
            <v>8669375</v>
          </cell>
        </row>
        <row r="1619">
          <cell r="V1619">
            <v>4769450</v>
          </cell>
        </row>
        <row r="1620">
          <cell r="V1620">
            <v>0</v>
          </cell>
        </row>
        <row r="1621">
          <cell r="D1621">
            <v>22</v>
          </cell>
          <cell r="V1621">
            <v>1905200</v>
          </cell>
        </row>
        <row r="1622">
          <cell r="D1622">
            <v>25</v>
          </cell>
          <cell r="V1622">
            <v>2864250</v>
          </cell>
        </row>
        <row r="1623">
          <cell r="V1623">
            <v>0</v>
          </cell>
        </row>
        <row r="1624">
          <cell r="D1624">
            <v>100</v>
          </cell>
          <cell r="U1624">
            <v>114560</v>
          </cell>
          <cell r="V1624">
            <v>11456000</v>
          </cell>
        </row>
        <row r="1625">
          <cell r="D1625">
            <v>7</v>
          </cell>
          <cell r="U1625">
            <v>120540</v>
          </cell>
          <cell r="V1625">
            <v>843780</v>
          </cell>
        </row>
        <row r="1627">
          <cell r="V1627">
            <v>6595650</v>
          </cell>
        </row>
        <row r="1833">
          <cell r="D1833">
            <v>1</v>
          </cell>
          <cell r="F1833">
            <v>0</v>
          </cell>
          <cell r="G1833">
            <v>0</v>
          </cell>
          <cell r="V1833">
            <v>47910</v>
          </cell>
        </row>
        <row r="1837">
          <cell r="D1837">
            <v>26</v>
          </cell>
          <cell r="V1837">
            <v>1614640</v>
          </cell>
        </row>
        <row r="1849">
          <cell r="D1849">
            <v>44</v>
          </cell>
          <cell r="U1849">
            <v>24850</v>
          </cell>
          <cell r="V1849">
            <v>1093400</v>
          </cell>
        </row>
        <row r="1851">
          <cell r="D1851">
            <v>284</v>
          </cell>
          <cell r="U1851">
            <v>16380</v>
          </cell>
          <cell r="V1851">
            <v>4651920</v>
          </cell>
        </row>
        <row r="1852">
          <cell r="D1852">
            <v>164</v>
          </cell>
          <cell r="U1852">
            <v>51500</v>
          </cell>
          <cell r="V1852">
            <v>8446000</v>
          </cell>
        </row>
        <row r="1853">
          <cell r="U1853">
            <v>63840</v>
          </cell>
          <cell r="V1853">
            <v>0</v>
          </cell>
        </row>
        <row r="1854">
          <cell r="D1854">
            <v>147</v>
          </cell>
          <cell r="U1854">
            <v>2250</v>
          </cell>
          <cell r="V1854">
            <v>330750</v>
          </cell>
        </row>
        <row r="1855">
          <cell r="U1855">
            <v>70</v>
          </cell>
          <cell r="V1855">
            <v>0</v>
          </cell>
        </row>
        <row r="1856">
          <cell r="U1856">
            <v>135560</v>
          </cell>
          <cell r="V1856">
            <v>0</v>
          </cell>
        </row>
        <row r="1857">
          <cell r="U1857">
            <v>9220</v>
          </cell>
          <cell r="V1857">
            <v>0</v>
          </cell>
        </row>
        <row r="1859">
          <cell r="V1859">
            <v>4995750</v>
          </cell>
        </row>
        <row r="1876">
          <cell r="V1876">
            <v>5254370</v>
          </cell>
        </row>
        <row r="1895">
          <cell r="V1895">
            <v>2288030</v>
          </cell>
        </row>
        <row r="1920">
          <cell r="D1920">
            <v>337</v>
          </cell>
          <cell r="U1920">
            <v>17150</v>
          </cell>
          <cell r="V1920">
            <v>5779550</v>
          </cell>
        </row>
        <row r="1921">
          <cell r="U1921">
            <v>215070</v>
          </cell>
          <cell r="V1921">
            <v>0</v>
          </cell>
        </row>
        <row r="1923">
          <cell r="U1923">
            <v>219670</v>
          </cell>
          <cell r="V1923">
            <v>0</v>
          </cell>
        </row>
        <row r="1924">
          <cell r="U1924">
            <v>31220</v>
          </cell>
          <cell r="V1924">
            <v>0</v>
          </cell>
        </row>
        <row r="1925">
          <cell r="U1925">
            <v>117730</v>
          </cell>
          <cell r="V1925">
            <v>0</v>
          </cell>
        </row>
        <row r="1926">
          <cell r="U1926">
            <v>117730</v>
          </cell>
          <cell r="V1926">
            <v>0</v>
          </cell>
        </row>
        <row r="1927">
          <cell r="U1927">
            <v>214360</v>
          </cell>
          <cell r="V1927">
            <v>0</v>
          </cell>
        </row>
        <row r="1928">
          <cell r="U1928">
            <v>328960</v>
          </cell>
          <cell r="V1928">
            <v>0</v>
          </cell>
        </row>
        <row r="1929">
          <cell r="U1929">
            <v>561180</v>
          </cell>
          <cell r="V1929">
            <v>0</v>
          </cell>
        </row>
        <row r="1930">
          <cell r="U1930">
            <v>116880</v>
          </cell>
          <cell r="V1930">
            <v>0</v>
          </cell>
        </row>
        <row r="1931">
          <cell r="U1931">
            <v>315020</v>
          </cell>
          <cell r="V1931">
            <v>0</v>
          </cell>
        </row>
        <row r="1932">
          <cell r="U1932">
            <v>132640</v>
          </cell>
          <cell r="V1932">
            <v>0</v>
          </cell>
        </row>
        <row r="1933">
          <cell r="U1933">
            <v>115270</v>
          </cell>
          <cell r="V1933">
            <v>0</v>
          </cell>
        </row>
        <row r="1934">
          <cell r="U1934">
            <v>175240</v>
          </cell>
          <cell r="V1934">
            <v>0</v>
          </cell>
        </row>
        <row r="1935">
          <cell r="U1935">
            <v>46120</v>
          </cell>
          <cell r="V1935">
            <v>0</v>
          </cell>
        </row>
        <row r="1936">
          <cell r="U1936">
            <v>34460</v>
          </cell>
          <cell r="V1936">
            <v>0</v>
          </cell>
        </row>
        <row r="1937">
          <cell r="U1937">
            <v>188970</v>
          </cell>
          <cell r="V1937">
            <v>0</v>
          </cell>
        </row>
        <row r="1938">
          <cell r="U1938">
            <v>1124200</v>
          </cell>
          <cell r="V1938">
            <v>0</v>
          </cell>
        </row>
        <row r="1939">
          <cell r="U1939">
            <v>169610</v>
          </cell>
          <cell r="V1939">
            <v>0</v>
          </cell>
        </row>
        <row r="1940">
          <cell r="U1940">
            <v>149990</v>
          </cell>
          <cell r="V1940">
            <v>0</v>
          </cell>
        </row>
        <row r="1941">
          <cell r="U1941">
            <v>304480</v>
          </cell>
          <cell r="V1941">
            <v>0</v>
          </cell>
        </row>
        <row r="1942">
          <cell r="U1942">
            <v>1012520</v>
          </cell>
          <cell r="V1942">
            <v>0</v>
          </cell>
        </row>
        <row r="1943">
          <cell r="U1943">
            <v>1040530</v>
          </cell>
          <cell r="V1943">
            <v>0</v>
          </cell>
        </row>
        <row r="1944">
          <cell r="U1944">
            <v>823870</v>
          </cell>
          <cell r="V1944">
            <v>0</v>
          </cell>
        </row>
        <row r="1945">
          <cell r="U1945">
            <v>868290</v>
          </cell>
          <cell r="V1945">
            <v>0</v>
          </cell>
        </row>
        <row r="1946">
          <cell r="U1946">
            <v>342530</v>
          </cell>
          <cell r="V1946">
            <v>0</v>
          </cell>
        </row>
        <row r="1947">
          <cell r="U1947">
            <v>82030</v>
          </cell>
          <cell r="V1947">
            <v>0</v>
          </cell>
        </row>
        <row r="1948">
          <cell r="U1948">
            <v>244730</v>
          </cell>
          <cell r="V1948">
            <v>0</v>
          </cell>
        </row>
        <row r="1949">
          <cell r="U1949">
            <v>69200</v>
          </cell>
          <cell r="V1949">
            <v>0</v>
          </cell>
        </row>
        <row r="1950">
          <cell r="U1950">
            <v>1189020</v>
          </cell>
          <cell r="V1950">
            <v>0</v>
          </cell>
        </row>
        <row r="1951">
          <cell r="U1951">
            <v>278030</v>
          </cell>
          <cell r="V1951">
            <v>0</v>
          </cell>
        </row>
        <row r="1952">
          <cell r="U1952">
            <v>931380</v>
          </cell>
          <cell r="V1952">
            <v>0</v>
          </cell>
        </row>
        <row r="1953">
          <cell r="U1953">
            <v>570190</v>
          </cell>
          <cell r="V1953">
            <v>0</v>
          </cell>
        </row>
        <row r="1954">
          <cell r="U1954">
            <v>465310</v>
          </cell>
          <cell r="V1954">
            <v>0</v>
          </cell>
        </row>
        <row r="1955">
          <cell r="U1955">
            <v>250830</v>
          </cell>
          <cell r="V1955">
            <v>0</v>
          </cell>
        </row>
        <row r="1956">
          <cell r="U1956">
            <v>146240</v>
          </cell>
          <cell r="V1956">
            <v>0</v>
          </cell>
        </row>
        <row r="1957">
          <cell r="U1957">
            <v>353360</v>
          </cell>
          <cell r="V1957">
            <v>0</v>
          </cell>
        </row>
        <row r="1958">
          <cell r="U1958">
            <v>366190</v>
          </cell>
          <cell r="V1958">
            <v>0</v>
          </cell>
        </row>
        <row r="1959">
          <cell r="U1959">
            <v>228810</v>
          </cell>
          <cell r="V1959">
            <v>0</v>
          </cell>
        </row>
        <row r="1960">
          <cell r="D1960">
            <v>98</v>
          </cell>
          <cell r="U1960">
            <v>31110</v>
          </cell>
          <cell r="V1960">
            <v>3048780</v>
          </cell>
        </row>
        <row r="1962">
          <cell r="D1962">
            <v>8</v>
          </cell>
          <cell r="U1962">
            <v>6120</v>
          </cell>
          <cell r="V1962">
            <v>48960</v>
          </cell>
        </row>
        <row r="1963">
          <cell r="U1963">
            <v>3260</v>
          </cell>
          <cell r="V1963">
            <v>0</v>
          </cell>
        </row>
        <row r="1964">
          <cell r="D1964">
            <v>2</v>
          </cell>
          <cell r="U1964">
            <v>12280</v>
          </cell>
          <cell r="V1964">
            <v>24560</v>
          </cell>
        </row>
        <row r="1965">
          <cell r="U1965">
            <v>125980</v>
          </cell>
          <cell r="V1965">
            <v>0</v>
          </cell>
        </row>
        <row r="1966">
          <cell r="U1966">
            <v>691940</v>
          </cell>
          <cell r="V196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2011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 refreshError="1"/>
      <sheetData sheetId="2">
        <row r="12">
          <cell r="D12">
            <v>47688</v>
          </cell>
        </row>
        <row r="13">
          <cell r="D13">
            <v>18618</v>
          </cell>
        </row>
        <row r="14">
          <cell r="D14">
            <v>18420</v>
          </cell>
        </row>
        <row r="15">
          <cell r="D15">
            <v>1173</v>
          </cell>
        </row>
        <row r="16">
          <cell r="D16">
            <v>0</v>
          </cell>
        </row>
        <row r="17">
          <cell r="D17">
            <v>1223</v>
          </cell>
        </row>
        <row r="18">
          <cell r="D18">
            <v>5567</v>
          </cell>
        </row>
        <row r="19">
          <cell r="D19">
            <v>4597</v>
          </cell>
        </row>
        <row r="20">
          <cell r="D20">
            <v>79</v>
          </cell>
        </row>
        <row r="21">
          <cell r="D21">
            <v>891</v>
          </cell>
        </row>
        <row r="22">
          <cell r="D22">
            <v>0</v>
          </cell>
        </row>
        <row r="23">
          <cell r="D23">
            <v>58</v>
          </cell>
        </row>
        <row r="24">
          <cell r="D24">
            <v>2629</v>
          </cell>
        </row>
        <row r="25">
          <cell r="D25">
            <v>4375</v>
          </cell>
        </row>
        <row r="26">
          <cell r="D26">
            <v>2894</v>
          </cell>
        </row>
        <row r="27">
          <cell r="D27">
            <v>3</v>
          </cell>
        </row>
        <row r="28">
          <cell r="D28">
            <v>380</v>
          </cell>
        </row>
        <row r="30">
          <cell r="D30">
            <v>842</v>
          </cell>
        </row>
        <row r="31">
          <cell r="D31">
            <v>0</v>
          </cell>
        </row>
        <row r="32">
          <cell r="D32">
            <v>256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6">
          <cell r="F66">
            <v>0</v>
          </cell>
          <cell r="G66">
            <v>0</v>
          </cell>
          <cell r="H66">
            <v>0</v>
          </cell>
        </row>
        <row r="67">
          <cell r="F67">
            <v>57</v>
          </cell>
          <cell r="G67">
            <v>0</v>
          </cell>
          <cell r="H67">
            <v>0</v>
          </cell>
        </row>
        <row r="68">
          <cell r="F68">
            <v>14</v>
          </cell>
          <cell r="G68">
            <v>0</v>
          </cell>
          <cell r="H68">
            <v>0</v>
          </cell>
        </row>
        <row r="69">
          <cell r="F69">
            <v>6</v>
          </cell>
          <cell r="G69">
            <v>2</v>
          </cell>
          <cell r="H69">
            <v>0</v>
          </cell>
        </row>
        <row r="70">
          <cell r="F70">
            <v>84</v>
          </cell>
          <cell r="G70">
            <v>2</v>
          </cell>
          <cell r="H70">
            <v>0</v>
          </cell>
        </row>
        <row r="71">
          <cell r="F71">
            <v>118</v>
          </cell>
          <cell r="G71">
            <v>3</v>
          </cell>
          <cell r="H71">
            <v>0</v>
          </cell>
        </row>
        <row r="72">
          <cell r="F72">
            <v>4</v>
          </cell>
          <cell r="G72">
            <v>0</v>
          </cell>
          <cell r="H72">
            <v>0</v>
          </cell>
        </row>
        <row r="73">
          <cell r="F73">
            <v>3</v>
          </cell>
          <cell r="G73">
            <v>0</v>
          </cell>
          <cell r="H73">
            <v>0</v>
          </cell>
        </row>
        <row r="74">
          <cell r="F74">
            <v>179</v>
          </cell>
          <cell r="G74">
            <v>15</v>
          </cell>
          <cell r="H74">
            <v>0</v>
          </cell>
        </row>
        <row r="75">
          <cell r="F75">
            <v>11</v>
          </cell>
          <cell r="G75">
            <v>0</v>
          </cell>
          <cell r="H75">
            <v>0</v>
          </cell>
        </row>
        <row r="76">
          <cell r="F76">
            <v>27</v>
          </cell>
          <cell r="G76">
            <v>3</v>
          </cell>
          <cell r="H76">
            <v>0</v>
          </cell>
        </row>
        <row r="77">
          <cell r="F77">
            <v>2</v>
          </cell>
          <cell r="G77">
            <v>0</v>
          </cell>
          <cell r="H77">
            <v>0</v>
          </cell>
        </row>
        <row r="78">
          <cell r="F78">
            <v>36</v>
          </cell>
          <cell r="G78">
            <v>7</v>
          </cell>
          <cell r="H78">
            <v>0</v>
          </cell>
        </row>
        <row r="79">
          <cell r="F79">
            <v>66</v>
          </cell>
          <cell r="G79">
            <v>3</v>
          </cell>
          <cell r="H79">
            <v>0</v>
          </cell>
        </row>
        <row r="80">
          <cell r="F80">
            <v>57</v>
          </cell>
          <cell r="G80">
            <v>3</v>
          </cell>
          <cell r="H80">
            <v>0</v>
          </cell>
        </row>
        <row r="120">
          <cell r="E120">
            <v>1043</v>
          </cell>
        </row>
      </sheetData>
      <sheetData sheetId="3">
        <row r="13">
          <cell r="U13">
            <v>3830</v>
          </cell>
          <cell r="V13">
            <v>0</v>
          </cell>
        </row>
        <row r="14">
          <cell r="U14">
            <v>4820</v>
          </cell>
          <cell r="V14">
            <v>0</v>
          </cell>
        </row>
        <row r="15">
          <cell r="D15">
            <v>9307</v>
          </cell>
          <cell r="U15">
            <v>10320</v>
          </cell>
          <cell r="V15">
            <v>96048240</v>
          </cell>
        </row>
        <row r="16">
          <cell r="U16">
            <v>6170</v>
          </cell>
          <cell r="V16">
            <v>0</v>
          </cell>
        </row>
        <row r="17">
          <cell r="U17">
            <v>6770</v>
          </cell>
          <cell r="V17">
            <v>0</v>
          </cell>
        </row>
        <row r="18">
          <cell r="U18">
            <v>12950</v>
          </cell>
          <cell r="V18">
            <v>0</v>
          </cell>
        </row>
        <row r="19">
          <cell r="D19">
            <v>76</v>
          </cell>
          <cell r="U19">
            <v>12950</v>
          </cell>
          <cell r="V19">
            <v>984200</v>
          </cell>
        </row>
        <row r="20">
          <cell r="U20">
            <v>5210</v>
          </cell>
          <cell r="V20">
            <v>0</v>
          </cell>
        </row>
        <row r="21">
          <cell r="U21">
            <v>6250</v>
          </cell>
          <cell r="V21">
            <v>0</v>
          </cell>
        </row>
        <row r="22">
          <cell r="U22">
            <v>7760</v>
          </cell>
          <cell r="V22">
            <v>0</v>
          </cell>
        </row>
        <row r="23">
          <cell r="D23">
            <v>1714</v>
          </cell>
          <cell r="U23">
            <v>5210</v>
          </cell>
          <cell r="V23">
            <v>8929940</v>
          </cell>
        </row>
        <row r="24">
          <cell r="D24">
            <v>954</v>
          </cell>
          <cell r="U24">
            <v>6250</v>
          </cell>
          <cell r="V24">
            <v>5962500</v>
          </cell>
        </row>
        <row r="25">
          <cell r="D25">
            <v>2111</v>
          </cell>
          <cell r="U25">
            <v>7760</v>
          </cell>
          <cell r="V25">
            <v>16381360</v>
          </cell>
        </row>
        <row r="27">
          <cell r="D27">
            <v>1652</v>
          </cell>
          <cell r="U27">
            <v>1020</v>
          </cell>
          <cell r="V27">
            <v>1685040</v>
          </cell>
        </row>
        <row r="28">
          <cell r="U28">
            <v>1740</v>
          </cell>
          <cell r="V28">
            <v>0</v>
          </cell>
        </row>
        <row r="29">
          <cell r="U29">
            <v>550</v>
          </cell>
          <cell r="V29">
            <v>0</v>
          </cell>
        </row>
        <row r="30">
          <cell r="D30">
            <v>24</v>
          </cell>
          <cell r="U30">
            <v>1380</v>
          </cell>
          <cell r="V30">
            <v>33120</v>
          </cell>
        </row>
        <row r="31">
          <cell r="D31">
            <v>1161</v>
          </cell>
          <cell r="U31">
            <v>1110</v>
          </cell>
          <cell r="V31">
            <v>1288710</v>
          </cell>
        </row>
        <row r="32">
          <cell r="U32">
            <v>1020</v>
          </cell>
          <cell r="V32">
            <v>0</v>
          </cell>
        </row>
        <row r="34">
          <cell r="U34">
            <v>3340</v>
          </cell>
          <cell r="V34">
            <v>0</v>
          </cell>
        </row>
        <row r="35">
          <cell r="D35">
            <v>307</v>
          </cell>
          <cell r="U35">
            <v>1840</v>
          </cell>
          <cell r="V35">
            <v>564880</v>
          </cell>
        </row>
        <row r="36">
          <cell r="D36">
            <v>2</v>
          </cell>
          <cell r="U36">
            <v>1840</v>
          </cell>
          <cell r="V36">
            <v>3680</v>
          </cell>
        </row>
        <row r="37">
          <cell r="D37">
            <v>682</v>
          </cell>
          <cell r="U37">
            <v>550</v>
          </cell>
          <cell r="V37">
            <v>375100</v>
          </cell>
        </row>
        <row r="39">
          <cell r="D39">
            <v>18</v>
          </cell>
          <cell r="U39">
            <v>1590</v>
          </cell>
          <cell r="V39">
            <v>28620</v>
          </cell>
        </row>
        <row r="40">
          <cell r="D40">
            <v>29</v>
          </cell>
          <cell r="U40">
            <v>1590</v>
          </cell>
          <cell r="V40">
            <v>46110</v>
          </cell>
        </row>
        <row r="41">
          <cell r="U41">
            <v>910</v>
          </cell>
          <cell r="V41">
            <v>0</v>
          </cell>
        </row>
        <row r="43">
          <cell r="D43">
            <v>2937</v>
          </cell>
          <cell r="U43">
            <v>700</v>
          </cell>
          <cell r="V43">
            <v>2055900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1240</v>
          </cell>
          <cell r="V47">
            <v>0</v>
          </cell>
        </row>
        <row r="48">
          <cell r="D48">
            <v>432</v>
          </cell>
          <cell r="U48">
            <v>600</v>
          </cell>
          <cell r="V48">
            <v>259200</v>
          </cell>
        </row>
        <row r="49">
          <cell r="D49">
            <v>928</v>
          </cell>
          <cell r="U49">
            <v>1840</v>
          </cell>
          <cell r="V49">
            <v>1707520</v>
          </cell>
        </row>
        <row r="50">
          <cell r="D50">
            <v>43</v>
          </cell>
          <cell r="U50">
            <v>13790</v>
          </cell>
          <cell r="V50">
            <v>592970</v>
          </cell>
        </row>
        <row r="51">
          <cell r="D51">
            <v>84</v>
          </cell>
          <cell r="U51">
            <v>31670</v>
          </cell>
          <cell r="V51">
            <v>2660280</v>
          </cell>
        </row>
        <row r="52">
          <cell r="D52">
            <v>16</v>
          </cell>
          <cell r="V52">
            <v>126400</v>
          </cell>
        </row>
        <row r="59">
          <cell r="D59">
            <v>5590</v>
          </cell>
          <cell r="U59">
            <v>30310</v>
          </cell>
          <cell r="V59">
            <v>169432900</v>
          </cell>
        </row>
        <row r="60">
          <cell r="U60">
            <v>27900</v>
          </cell>
          <cell r="V60">
            <v>0</v>
          </cell>
        </row>
        <row r="61">
          <cell r="U61">
            <v>23260</v>
          </cell>
          <cell r="V61">
            <v>0</v>
          </cell>
        </row>
        <row r="62">
          <cell r="U62">
            <v>126000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216</v>
          </cell>
          <cell r="U65">
            <v>60860</v>
          </cell>
          <cell r="V65">
            <v>13145760</v>
          </cell>
        </row>
        <row r="66">
          <cell r="D66">
            <v>153</v>
          </cell>
          <cell r="V66">
            <v>9311580</v>
          </cell>
        </row>
        <row r="67">
          <cell r="V67">
            <v>0</v>
          </cell>
        </row>
        <row r="68">
          <cell r="D68">
            <v>192</v>
          </cell>
          <cell r="U68">
            <v>54600</v>
          </cell>
          <cell r="V68">
            <v>10483200</v>
          </cell>
        </row>
        <row r="69">
          <cell r="U69">
            <v>15500</v>
          </cell>
          <cell r="V69">
            <v>0</v>
          </cell>
        </row>
        <row r="70">
          <cell r="U70">
            <v>24280</v>
          </cell>
          <cell r="V70">
            <v>0</v>
          </cell>
        </row>
        <row r="71">
          <cell r="U71">
            <v>25270</v>
          </cell>
          <cell r="V71">
            <v>0</v>
          </cell>
        </row>
        <row r="72">
          <cell r="U72">
            <v>10190</v>
          </cell>
          <cell r="V72">
            <v>0</v>
          </cell>
        </row>
        <row r="73">
          <cell r="U73">
            <v>24470</v>
          </cell>
          <cell r="V73">
            <v>0</v>
          </cell>
        </row>
        <row r="74">
          <cell r="U74">
            <v>10190</v>
          </cell>
          <cell r="V74">
            <v>0</v>
          </cell>
        </row>
        <row r="75">
          <cell r="D75">
            <v>9</v>
          </cell>
          <cell r="U75">
            <v>4490</v>
          </cell>
          <cell r="V75">
            <v>40410</v>
          </cell>
        </row>
        <row r="76">
          <cell r="U76">
            <v>30310</v>
          </cell>
          <cell r="V76">
            <v>0</v>
          </cell>
        </row>
        <row r="77">
          <cell r="U77">
            <v>81940</v>
          </cell>
          <cell r="V77">
            <v>0</v>
          </cell>
        </row>
        <row r="78">
          <cell r="U78">
            <v>9670</v>
          </cell>
          <cell r="V78">
            <v>0</v>
          </cell>
        </row>
        <row r="79">
          <cell r="D79">
            <v>39</v>
          </cell>
          <cell r="U79">
            <v>5880</v>
          </cell>
          <cell r="V79">
            <v>229320</v>
          </cell>
        </row>
        <row r="80">
          <cell r="U80">
            <v>42470</v>
          </cell>
          <cell r="V80">
            <v>0</v>
          </cell>
        </row>
        <row r="81">
          <cell r="U81">
            <v>7450</v>
          </cell>
          <cell r="V81">
            <v>0</v>
          </cell>
        </row>
        <row r="83">
          <cell r="V83">
            <v>18299580</v>
          </cell>
        </row>
        <row r="174">
          <cell r="V174">
            <v>20397210</v>
          </cell>
        </row>
        <row r="243">
          <cell r="V243">
            <v>3765510</v>
          </cell>
        </row>
        <row r="289">
          <cell r="V289">
            <v>0</v>
          </cell>
        </row>
        <row r="295">
          <cell r="V295">
            <v>5055290</v>
          </cell>
        </row>
        <row r="362">
          <cell r="V362">
            <v>9503560</v>
          </cell>
        </row>
        <row r="405">
          <cell r="V405">
            <v>186500</v>
          </cell>
        </row>
        <row r="428">
          <cell r="V428">
            <v>3330020</v>
          </cell>
        </row>
        <row r="446">
          <cell r="V446">
            <v>0</v>
          </cell>
        </row>
        <row r="456">
          <cell r="V456">
            <v>85420</v>
          </cell>
        </row>
        <row r="500">
          <cell r="V500">
            <v>2962340</v>
          </cell>
        </row>
        <row r="535">
          <cell r="V535">
            <v>20933830</v>
          </cell>
        </row>
        <row r="590">
          <cell r="V590">
            <v>57630</v>
          </cell>
        </row>
        <row r="615">
          <cell r="V615">
            <v>17823100</v>
          </cell>
        </row>
        <row r="633">
          <cell r="V633">
            <v>14978060</v>
          </cell>
        </row>
        <row r="634">
          <cell r="V634">
            <v>0</v>
          </cell>
        </row>
        <row r="654">
          <cell r="V654">
            <v>0</v>
          </cell>
        </row>
        <row r="670">
          <cell r="V670">
            <v>0</v>
          </cell>
        </row>
        <row r="697">
          <cell r="V697">
            <v>0</v>
          </cell>
        </row>
        <row r="716">
          <cell r="V716">
            <v>0</v>
          </cell>
        </row>
        <row r="723">
          <cell r="V723">
            <v>0</v>
          </cell>
        </row>
        <row r="726">
          <cell r="V726">
            <v>0</v>
          </cell>
        </row>
        <row r="743">
          <cell r="V743">
            <v>0</v>
          </cell>
        </row>
        <row r="760">
          <cell r="V760">
            <v>0</v>
          </cell>
        </row>
        <row r="764">
          <cell r="D764">
            <v>358</v>
          </cell>
          <cell r="V764">
            <v>2253160</v>
          </cell>
        </row>
        <row r="779">
          <cell r="V779">
            <v>0</v>
          </cell>
        </row>
        <row r="791">
          <cell r="D791">
            <v>159</v>
          </cell>
          <cell r="U791">
            <v>6330</v>
          </cell>
          <cell r="V791">
            <v>1006470</v>
          </cell>
        </row>
        <row r="792">
          <cell r="U792">
            <v>2480</v>
          </cell>
          <cell r="V792">
            <v>0</v>
          </cell>
        </row>
        <row r="793">
          <cell r="D793">
            <v>660</v>
          </cell>
          <cell r="U793">
            <v>2480</v>
          </cell>
          <cell r="V793">
            <v>1636800</v>
          </cell>
        </row>
        <row r="794">
          <cell r="U794">
            <v>9880</v>
          </cell>
          <cell r="V794">
            <v>0</v>
          </cell>
        </row>
        <row r="795">
          <cell r="D795">
            <v>17</v>
          </cell>
          <cell r="U795">
            <v>11570</v>
          </cell>
          <cell r="V795">
            <v>196690</v>
          </cell>
        </row>
        <row r="796">
          <cell r="U796">
            <v>26240</v>
          </cell>
          <cell r="V796">
            <v>0</v>
          </cell>
        </row>
        <row r="797">
          <cell r="U797">
            <v>2882</v>
          </cell>
          <cell r="V797">
            <v>0</v>
          </cell>
        </row>
        <row r="798">
          <cell r="U798">
            <v>6766</v>
          </cell>
          <cell r="V798">
            <v>0</v>
          </cell>
        </row>
        <row r="801">
          <cell r="U801">
            <v>13080</v>
          </cell>
          <cell r="V801">
            <v>0</v>
          </cell>
        </row>
        <row r="802">
          <cell r="D802">
            <v>12</v>
          </cell>
          <cell r="U802">
            <v>10470</v>
          </cell>
          <cell r="V802">
            <v>125640</v>
          </cell>
        </row>
        <row r="803">
          <cell r="U803">
            <v>355150</v>
          </cell>
          <cell r="V803">
            <v>0</v>
          </cell>
        </row>
        <row r="807">
          <cell r="V807">
            <v>0</v>
          </cell>
        </row>
        <row r="878">
          <cell r="V878">
            <v>23974720</v>
          </cell>
        </row>
        <row r="957">
          <cell r="V957">
            <v>1104540</v>
          </cell>
        </row>
        <row r="1032">
          <cell r="U1032">
            <v>8370</v>
          </cell>
          <cell r="V1032">
            <v>0</v>
          </cell>
        </row>
        <row r="1033">
          <cell r="V1033">
            <v>1005055</v>
          </cell>
        </row>
        <row r="1094">
          <cell r="V1094">
            <v>4397060</v>
          </cell>
        </row>
        <row r="1162">
          <cell r="V1162">
            <v>2993925</v>
          </cell>
        </row>
        <row r="1186">
          <cell r="D1186">
            <v>788</v>
          </cell>
          <cell r="U1186">
            <v>4480</v>
          </cell>
          <cell r="V1186">
            <v>3530240</v>
          </cell>
        </row>
        <row r="1187">
          <cell r="D1187">
            <v>15</v>
          </cell>
          <cell r="U1187">
            <v>12640</v>
          </cell>
          <cell r="V1187">
            <v>189600</v>
          </cell>
        </row>
        <row r="1188">
          <cell r="D1188">
            <v>35</v>
          </cell>
          <cell r="U1188">
            <v>21430</v>
          </cell>
          <cell r="V1188">
            <v>750050</v>
          </cell>
        </row>
        <row r="1189">
          <cell r="U1189">
            <v>40910</v>
          </cell>
          <cell r="V1189">
            <v>0</v>
          </cell>
        </row>
        <row r="1190">
          <cell r="D1190">
            <v>63</v>
          </cell>
          <cell r="U1190">
            <v>45600</v>
          </cell>
          <cell r="V1190">
            <v>2872800</v>
          </cell>
        </row>
        <row r="1191">
          <cell r="U1191">
            <v>25580</v>
          </cell>
          <cell r="V1191">
            <v>0</v>
          </cell>
        </row>
        <row r="1192">
          <cell r="U1192">
            <v>197910</v>
          </cell>
          <cell r="V1192">
            <v>0</v>
          </cell>
        </row>
        <row r="1193">
          <cell r="U1193">
            <v>224990</v>
          </cell>
          <cell r="V1193">
            <v>0</v>
          </cell>
        </row>
        <row r="1194">
          <cell r="U1194">
            <v>183470</v>
          </cell>
          <cell r="V1194">
            <v>0</v>
          </cell>
        </row>
        <row r="1195">
          <cell r="U1195">
            <v>235660</v>
          </cell>
          <cell r="V1195">
            <v>0</v>
          </cell>
        </row>
        <row r="1196">
          <cell r="U1196">
            <v>241140</v>
          </cell>
          <cell r="V1196">
            <v>0</v>
          </cell>
        </row>
        <row r="1197">
          <cell r="U1197">
            <v>203920</v>
          </cell>
          <cell r="V1197">
            <v>0</v>
          </cell>
        </row>
        <row r="1198">
          <cell r="U1198">
            <v>217670</v>
          </cell>
          <cell r="V1198">
            <v>0</v>
          </cell>
        </row>
        <row r="1199">
          <cell r="U1199">
            <v>260270</v>
          </cell>
          <cell r="V1199">
            <v>0</v>
          </cell>
        </row>
        <row r="1200">
          <cell r="U1200">
            <v>230810</v>
          </cell>
          <cell r="V1200">
            <v>0</v>
          </cell>
        </row>
        <row r="1201">
          <cell r="U1201">
            <v>1689070</v>
          </cell>
          <cell r="V1201">
            <v>0</v>
          </cell>
        </row>
        <row r="1202">
          <cell r="U1202">
            <v>1054990</v>
          </cell>
          <cell r="V1202">
            <v>0</v>
          </cell>
        </row>
        <row r="1203">
          <cell r="U1203">
            <v>1021110</v>
          </cell>
          <cell r="V1203">
            <v>0</v>
          </cell>
        </row>
        <row r="1204">
          <cell r="U1204">
            <v>1069740</v>
          </cell>
          <cell r="V1204">
            <v>0</v>
          </cell>
        </row>
        <row r="1205">
          <cell r="U1205">
            <v>151380</v>
          </cell>
          <cell r="V1205">
            <v>0</v>
          </cell>
        </row>
        <row r="1206">
          <cell r="U1206">
            <v>345440</v>
          </cell>
          <cell r="V1206">
            <v>0</v>
          </cell>
        </row>
        <row r="1207">
          <cell r="U1207">
            <v>128060</v>
          </cell>
          <cell r="V1207">
            <v>0</v>
          </cell>
        </row>
        <row r="1208">
          <cell r="U1208">
            <v>1037610</v>
          </cell>
          <cell r="V1208">
            <v>0</v>
          </cell>
        </row>
        <row r="1209">
          <cell r="U1209">
            <v>1037610</v>
          </cell>
          <cell r="V1209">
            <v>0</v>
          </cell>
        </row>
        <row r="1210">
          <cell r="V1210">
            <v>379790</v>
          </cell>
        </row>
        <row r="1276">
          <cell r="V1276">
            <v>275220</v>
          </cell>
        </row>
        <row r="1343">
          <cell r="D1343">
            <v>32</v>
          </cell>
          <cell r="U1343">
            <v>30950</v>
          </cell>
          <cell r="V1343">
            <v>990400</v>
          </cell>
        </row>
        <row r="1344">
          <cell r="U1344">
            <v>37330</v>
          </cell>
          <cell r="V1344">
            <v>0</v>
          </cell>
        </row>
        <row r="1345">
          <cell r="D1345">
            <v>6</v>
          </cell>
          <cell r="U1345">
            <v>39760</v>
          </cell>
          <cell r="V1345">
            <v>238560</v>
          </cell>
        </row>
        <row r="1346">
          <cell r="V1346">
            <v>43496800</v>
          </cell>
        </row>
        <row r="1430">
          <cell r="V1430">
            <v>732520</v>
          </cell>
        </row>
        <row r="1470">
          <cell r="U1470">
            <v>38160</v>
          </cell>
          <cell r="V1470">
            <v>0</v>
          </cell>
        </row>
        <row r="1471">
          <cell r="U1471">
            <v>24000</v>
          </cell>
          <cell r="V1471">
            <v>0</v>
          </cell>
        </row>
        <row r="1472">
          <cell r="U1472">
            <v>24000</v>
          </cell>
          <cell r="V1472">
            <v>0</v>
          </cell>
        </row>
        <row r="1473">
          <cell r="U1473">
            <v>726900</v>
          </cell>
          <cell r="V1473">
            <v>0</v>
          </cell>
        </row>
        <row r="1474">
          <cell r="U1474">
            <v>515080</v>
          </cell>
          <cell r="V1474">
            <v>0</v>
          </cell>
        </row>
        <row r="1475">
          <cell r="U1475">
            <v>43850</v>
          </cell>
          <cell r="V1475">
            <v>0</v>
          </cell>
        </row>
        <row r="1476">
          <cell r="U1476">
            <v>591930</v>
          </cell>
          <cell r="V1476">
            <v>0</v>
          </cell>
        </row>
        <row r="1477">
          <cell r="V1477">
            <v>5606725</v>
          </cell>
        </row>
        <row r="1562">
          <cell r="V1562">
            <v>8066090</v>
          </cell>
        </row>
        <row r="1580">
          <cell r="V1580">
            <v>591260</v>
          </cell>
        </row>
        <row r="1585">
          <cell r="V1585">
            <v>7369785</v>
          </cell>
        </row>
        <row r="1619">
          <cell r="V1619">
            <v>7198470</v>
          </cell>
        </row>
        <row r="1620">
          <cell r="D1620">
            <v>9</v>
          </cell>
          <cell r="V1620">
            <v>838350</v>
          </cell>
        </row>
        <row r="1621">
          <cell r="D1621">
            <v>18</v>
          </cell>
          <cell r="F1621">
            <v>3</v>
          </cell>
          <cell r="V1621">
            <v>1744470</v>
          </cell>
        </row>
        <row r="1622">
          <cell r="D1622">
            <v>39</v>
          </cell>
          <cell r="V1622">
            <v>4615650</v>
          </cell>
        </row>
        <row r="1623">
          <cell r="V1623">
            <v>0</v>
          </cell>
        </row>
        <row r="1624">
          <cell r="D1624">
            <v>106</v>
          </cell>
          <cell r="U1624">
            <v>118340</v>
          </cell>
          <cell r="V1624">
            <v>12544040</v>
          </cell>
        </row>
        <row r="1625">
          <cell r="D1625">
            <v>9</v>
          </cell>
          <cell r="U1625">
            <v>124520</v>
          </cell>
          <cell r="V1625">
            <v>1120680</v>
          </cell>
        </row>
        <row r="1627">
          <cell r="V1627">
            <v>10176120</v>
          </cell>
        </row>
        <row r="1833">
          <cell r="D1833">
            <v>4</v>
          </cell>
          <cell r="F1833">
            <v>0</v>
          </cell>
          <cell r="G1833">
            <v>0</v>
          </cell>
          <cell r="V1833">
            <v>325810</v>
          </cell>
        </row>
        <row r="1837">
          <cell r="D1837">
            <v>24</v>
          </cell>
          <cell r="V1837">
            <v>1663500</v>
          </cell>
        </row>
        <row r="1849">
          <cell r="D1849">
            <v>64</v>
          </cell>
          <cell r="U1849">
            <v>25670</v>
          </cell>
          <cell r="V1849">
            <v>1642880</v>
          </cell>
        </row>
        <row r="1851">
          <cell r="D1851">
            <v>257</v>
          </cell>
          <cell r="U1851">
            <v>16920</v>
          </cell>
          <cell r="V1851">
            <v>4348440</v>
          </cell>
        </row>
        <row r="1852">
          <cell r="D1852">
            <v>184</v>
          </cell>
          <cell r="U1852">
            <v>53200</v>
          </cell>
          <cell r="V1852">
            <v>9788800</v>
          </cell>
        </row>
        <row r="1853">
          <cell r="U1853">
            <v>65950</v>
          </cell>
          <cell r="V1853">
            <v>0</v>
          </cell>
        </row>
        <row r="1854">
          <cell r="D1854">
            <v>174</v>
          </cell>
          <cell r="U1854">
            <v>2320</v>
          </cell>
          <cell r="V1854">
            <v>403680</v>
          </cell>
        </row>
        <row r="1855">
          <cell r="U1855">
            <v>70</v>
          </cell>
          <cell r="V1855">
            <v>0</v>
          </cell>
        </row>
        <row r="1856">
          <cell r="U1856">
            <v>140030</v>
          </cell>
          <cell r="V1856">
            <v>0</v>
          </cell>
        </row>
        <row r="1857">
          <cell r="U1857">
            <v>9520</v>
          </cell>
          <cell r="V1857">
            <v>0</v>
          </cell>
        </row>
        <row r="1859">
          <cell r="V1859">
            <v>4717290</v>
          </cell>
        </row>
        <row r="1876">
          <cell r="V1876">
            <v>4921520</v>
          </cell>
        </row>
        <row r="1895">
          <cell r="V1895">
            <v>2464700</v>
          </cell>
        </row>
        <row r="1920">
          <cell r="D1920">
            <v>270</v>
          </cell>
          <cell r="U1920">
            <v>17720</v>
          </cell>
          <cell r="V1920">
            <v>4784400</v>
          </cell>
        </row>
        <row r="1921">
          <cell r="U1921">
            <v>222170</v>
          </cell>
          <cell r="V1921">
            <v>0</v>
          </cell>
        </row>
        <row r="1923">
          <cell r="U1923">
            <v>226920</v>
          </cell>
          <cell r="V1923">
            <v>0</v>
          </cell>
        </row>
        <row r="1924">
          <cell r="U1924">
            <v>32250</v>
          </cell>
          <cell r="V1924">
            <v>0</v>
          </cell>
        </row>
        <row r="1925">
          <cell r="U1925">
            <v>121620</v>
          </cell>
          <cell r="V1925">
            <v>0</v>
          </cell>
        </row>
        <row r="1926">
          <cell r="U1926">
            <v>121620</v>
          </cell>
          <cell r="V1926">
            <v>0</v>
          </cell>
        </row>
        <row r="1927">
          <cell r="U1927">
            <v>221430</v>
          </cell>
          <cell r="V1927">
            <v>0</v>
          </cell>
        </row>
        <row r="1928">
          <cell r="U1928">
            <v>339820</v>
          </cell>
          <cell r="V1928">
            <v>0</v>
          </cell>
        </row>
        <row r="1929">
          <cell r="U1929">
            <v>579700</v>
          </cell>
          <cell r="V1929">
            <v>0</v>
          </cell>
        </row>
        <row r="1930">
          <cell r="U1930">
            <v>120740</v>
          </cell>
          <cell r="V1930">
            <v>0</v>
          </cell>
        </row>
        <row r="1931">
          <cell r="U1931">
            <v>325420</v>
          </cell>
          <cell r="V1931">
            <v>0</v>
          </cell>
        </row>
        <row r="1932">
          <cell r="U1932">
            <v>137020</v>
          </cell>
          <cell r="V1932">
            <v>0</v>
          </cell>
        </row>
        <row r="1933">
          <cell r="U1933">
            <v>119070</v>
          </cell>
          <cell r="V1933">
            <v>0</v>
          </cell>
        </row>
        <row r="1934">
          <cell r="U1934">
            <v>181020</v>
          </cell>
          <cell r="V1934">
            <v>0</v>
          </cell>
        </row>
        <row r="1935">
          <cell r="U1935">
            <v>47640</v>
          </cell>
          <cell r="V1935">
            <v>0</v>
          </cell>
        </row>
        <row r="1936">
          <cell r="U1936">
            <v>35600</v>
          </cell>
          <cell r="V1936">
            <v>0</v>
          </cell>
        </row>
        <row r="1937">
          <cell r="U1937">
            <v>195210</v>
          </cell>
          <cell r="V1937">
            <v>0</v>
          </cell>
        </row>
        <row r="1938">
          <cell r="U1938">
            <v>1161300</v>
          </cell>
          <cell r="V1938">
            <v>0</v>
          </cell>
        </row>
        <row r="1939">
          <cell r="U1939">
            <v>175210</v>
          </cell>
          <cell r="V1939">
            <v>0</v>
          </cell>
        </row>
        <row r="1940">
          <cell r="U1940">
            <v>154940</v>
          </cell>
          <cell r="V1940">
            <v>0</v>
          </cell>
        </row>
        <row r="1941">
          <cell r="U1941">
            <v>314530</v>
          </cell>
          <cell r="V1941">
            <v>0</v>
          </cell>
        </row>
        <row r="1942">
          <cell r="U1942">
            <v>1045930</v>
          </cell>
          <cell r="V1942">
            <v>0</v>
          </cell>
        </row>
        <row r="1943">
          <cell r="U1943">
            <v>1074870</v>
          </cell>
          <cell r="V1943">
            <v>0</v>
          </cell>
        </row>
        <row r="1944">
          <cell r="U1944">
            <v>851060</v>
          </cell>
          <cell r="V1944">
            <v>0</v>
          </cell>
        </row>
        <row r="1945">
          <cell r="U1945">
            <v>896940</v>
          </cell>
          <cell r="V1945">
            <v>0</v>
          </cell>
        </row>
        <row r="1946">
          <cell r="U1946">
            <v>353830</v>
          </cell>
          <cell r="V1946">
            <v>0</v>
          </cell>
        </row>
        <row r="1947">
          <cell r="U1947">
            <v>84740</v>
          </cell>
          <cell r="V1947">
            <v>0</v>
          </cell>
        </row>
        <row r="1948">
          <cell r="U1948">
            <v>252810</v>
          </cell>
          <cell r="V1948">
            <v>0</v>
          </cell>
        </row>
        <row r="1949">
          <cell r="U1949">
            <v>71480</v>
          </cell>
          <cell r="V1949">
            <v>0</v>
          </cell>
        </row>
        <row r="1950">
          <cell r="U1950">
            <v>1228260</v>
          </cell>
          <cell r="V1950">
            <v>0</v>
          </cell>
        </row>
        <row r="1951">
          <cell r="U1951">
            <v>287200</v>
          </cell>
          <cell r="V1951">
            <v>0</v>
          </cell>
        </row>
        <row r="1952">
          <cell r="U1952">
            <v>962120</v>
          </cell>
          <cell r="V1952">
            <v>0</v>
          </cell>
        </row>
        <row r="1953">
          <cell r="U1953">
            <v>589010</v>
          </cell>
          <cell r="V1953">
            <v>0</v>
          </cell>
        </row>
        <row r="1954">
          <cell r="U1954">
            <v>480670</v>
          </cell>
          <cell r="V1954">
            <v>0</v>
          </cell>
        </row>
        <row r="1955">
          <cell r="U1955">
            <v>259110</v>
          </cell>
          <cell r="V1955">
            <v>0</v>
          </cell>
        </row>
        <row r="1956">
          <cell r="U1956">
            <v>151070</v>
          </cell>
          <cell r="V1956">
            <v>0</v>
          </cell>
        </row>
        <row r="1957">
          <cell r="U1957">
            <v>365020</v>
          </cell>
          <cell r="V1957">
            <v>0</v>
          </cell>
        </row>
        <row r="1958">
          <cell r="U1958">
            <v>378270</v>
          </cell>
          <cell r="V1958">
            <v>0</v>
          </cell>
        </row>
        <row r="1959">
          <cell r="U1959">
            <v>236360</v>
          </cell>
          <cell r="V1959">
            <v>0</v>
          </cell>
        </row>
        <row r="1960">
          <cell r="D1960">
            <v>100</v>
          </cell>
          <cell r="U1960">
            <v>32140</v>
          </cell>
          <cell r="V1960">
            <v>3214000</v>
          </cell>
        </row>
        <row r="1962">
          <cell r="D1962">
            <v>6</v>
          </cell>
          <cell r="U1962">
            <v>6320</v>
          </cell>
          <cell r="V1962">
            <v>37920</v>
          </cell>
        </row>
        <row r="1963">
          <cell r="U1963">
            <v>3370</v>
          </cell>
          <cell r="V1963">
            <v>0</v>
          </cell>
        </row>
        <row r="1964">
          <cell r="D1964">
            <v>2</v>
          </cell>
          <cell r="U1964">
            <v>12690</v>
          </cell>
          <cell r="V1964">
            <v>25380</v>
          </cell>
        </row>
        <row r="1965">
          <cell r="U1965">
            <v>130140</v>
          </cell>
          <cell r="V1965">
            <v>0</v>
          </cell>
        </row>
        <row r="1966">
          <cell r="U1966">
            <v>714770</v>
          </cell>
          <cell r="V196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2011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 refreshError="1"/>
      <sheetData sheetId="2">
        <row r="12">
          <cell r="D12">
            <v>48572</v>
          </cell>
        </row>
        <row r="13">
          <cell r="D13">
            <v>18513</v>
          </cell>
        </row>
        <row r="14">
          <cell r="D14">
            <v>19886</v>
          </cell>
        </row>
        <row r="15">
          <cell r="D15">
            <v>1014</v>
          </cell>
        </row>
        <row r="16">
          <cell r="D16">
            <v>0</v>
          </cell>
        </row>
        <row r="17">
          <cell r="D17">
            <v>1062</v>
          </cell>
        </row>
        <row r="18">
          <cell r="D18">
            <v>5585</v>
          </cell>
        </row>
        <row r="19">
          <cell r="D19">
            <v>4576</v>
          </cell>
        </row>
        <row r="20">
          <cell r="D20">
            <v>124</v>
          </cell>
        </row>
        <row r="21">
          <cell r="D21">
            <v>885</v>
          </cell>
        </row>
        <row r="22">
          <cell r="D22">
            <v>0</v>
          </cell>
        </row>
        <row r="23">
          <cell r="D23">
            <v>53</v>
          </cell>
        </row>
        <row r="24">
          <cell r="D24">
            <v>2459</v>
          </cell>
        </row>
        <row r="25">
          <cell r="D25">
            <v>3855</v>
          </cell>
        </row>
        <row r="26">
          <cell r="D26">
            <v>2577</v>
          </cell>
        </row>
        <row r="27">
          <cell r="D27">
            <v>4</v>
          </cell>
        </row>
        <row r="28">
          <cell r="D28">
            <v>345</v>
          </cell>
        </row>
        <row r="30">
          <cell r="D30">
            <v>674</v>
          </cell>
        </row>
        <row r="31">
          <cell r="D31">
            <v>0</v>
          </cell>
        </row>
        <row r="32">
          <cell r="D32">
            <v>255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6">
          <cell r="F66">
            <v>0</v>
          </cell>
          <cell r="G66">
            <v>0</v>
          </cell>
          <cell r="H66">
            <v>0</v>
          </cell>
        </row>
        <row r="67">
          <cell r="F67">
            <v>90</v>
          </cell>
          <cell r="G67">
            <v>0</v>
          </cell>
          <cell r="H67">
            <v>0</v>
          </cell>
        </row>
        <row r="68">
          <cell r="F68">
            <v>19</v>
          </cell>
          <cell r="G68">
            <v>0</v>
          </cell>
          <cell r="H68">
            <v>0</v>
          </cell>
        </row>
        <row r="69">
          <cell r="F69">
            <v>1</v>
          </cell>
          <cell r="G69">
            <v>0</v>
          </cell>
          <cell r="H69">
            <v>0</v>
          </cell>
        </row>
        <row r="70">
          <cell r="F70">
            <v>85</v>
          </cell>
          <cell r="G70">
            <v>2</v>
          </cell>
          <cell r="H70">
            <v>0</v>
          </cell>
        </row>
        <row r="71">
          <cell r="F71">
            <v>104</v>
          </cell>
          <cell r="G71">
            <v>7</v>
          </cell>
          <cell r="H71">
            <v>0</v>
          </cell>
        </row>
        <row r="72">
          <cell r="F72">
            <v>2</v>
          </cell>
          <cell r="G72">
            <v>0</v>
          </cell>
          <cell r="H72">
            <v>0</v>
          </cell>
        </row>
        <row r="73">
          <cell r="F73">
            <v>3</v>
          </cell>
          <cell r="G73">
            <v>0</v>
          </cell>
          <cell r="H73">
            <v>0</v>
          </cell>
        </row>
        <row r="74">
          <cell r="F74">
            <v>163</v>
          </cell>
          <cell r="G74">
            <v>11</v>
          </cell>
          <cell r="H74">
            <v>0</v>
          </cell>
        </row>
        <row r="75">
          <cell r="F75">
            <v>10</v>
          </cell>
          <cell r="G75">
            <v>0</v>
          </cell>
          <cell r="H75">
            <v>0</v>
          </cell>
        </row>
        <row r="76">
          <cell r="F76">
            <v>29</v>
          </cell>
          <cell r="G76">
            <v>3</v>
          </cell>
          <cell r="H76">
            <v>0</v>
          </cell>
        </row>
        <row r="77">
          <cell r="F77">
            <v>9</v>
          </cell>
          <cell r="G77">
            <v>0</v>
          </cell>
          <cell r="H77">
            <v>0</v>
          </cell>
        </row>
        <row r="78">
          <cell r="F78">
            <v>30</v>
          </cell>
          <cell r="G78">
            <v>3</v>
          </cell>
          <cell r="H78">
            <v>0</v>
          </cell>
        </row>
        <row r="79">
          <cell r="F79">
            <v>78</v>
          </cell>
          <cell r="G79">
            <v>1</v>
          </cell>
          <cell r="H79">
            <v>0</v>
          </cell>
        </row>
        <row r="80">
          <cell r="F80">
            <v>44</v>
          </cell>
          <cell r="G80">
            <v>0</v>
          </cell>
          <cell r="H80">
            <v>0</v>
          </cell>
        </row>
        <row r="120">
          <cell r="E120">
            <v>1003</v>
          </cell>
        </row>
      </sheetData>
      <sheetData sheetId="3">
        <row r="13">
          <cell r="U13">
            <v>3830</v>
          </cell>
          <cell r="V13">
            <v>0</v>
          </cell>
        </row>
        <row r="14">
          <cell r="U14">
            <v>4820</v>
          </cell>
          <cell r="V14">
            <v>0</v>
          </cell>
        </row>
        <row r="15">
          <cell r="D15">
            <v>8097</v>
          </cell>
          <cell r="U15">
            <v>10320</v>
          </cell>
          <cell r="V15">
            <v>83561040</v>
          </cell>
        </row>
        <row r="16">
          <cell r="U16">
            <v>6170</v>
          </cell>
          <cell r="V16">
            <v>0</v>
          </cell>
        </row>
        <row r="17">
          <cell r="U17">
            <v>6770</v>
          </cell>
          <cell r="V17">
            <v>0</v>
          </cell>
        </row>
        <row r="18">
          <cell r="U18">
            <v>12950</v>
          </cell>
          <cell r="V18">
            <v>0</v>
          </cell>
        </row>
        <row r="19">
          <cell r="D19">
            <v>77</v>
          </cell>
          <cell r="U19">
            <v>12950</v>
          </cell>
          <cell r="V19">
            <v>997150</v>
          </cell>
        </row>
        <row r="20">
          <cell r="U20">
            <v>5210</v>
          </cell>
          <cell r="V20">
            <v>0</v>
          </cell>
        </row>
        <row r="21">
          <cell r="U21">
            <v>6250</v>
          </cell>
          <cell r="V21">
            <v>0</v>
          </cell>
        </row>
        <row r="22">
          <cell r="U22">
            <v>7760</v>
          </cell>
          <cell r="V22">
            <v>0</v>
          </cell>
        </row>
        <row r="23">
          <cell r="D23">
            <v>1622</v>
          </cell>
          <cell r="U23">
            <v>5210</v>
          </cell>
          <cell r="V23">
            <v>8450620</v>
          </cell>
        </row>
        <row r="24">
          <cell r="D24">
            <v>910</v>
          </cell>
          <cell r="U24">
            <v>6250</v>
          </cell>
          <cell r="V24">
            <v>5687500</v>
          </cell>
        </row>
        <row r="25">
          <cell r="D25">
            <v>2008</v>
          </cell>
          <cell r="U25">
            <v>7760</v>
          </cell>
          <cell r="V25">
            <v>15582080</v>
          </cell>
        </row>
        <row r="27">
          <cell r="D27">
            <v>1586</v>
          </cell>
          <cell r="U27">
            <v>1020</v>
          </cell>
          <cell r="V27">
            <v>1617720</v>
          </cell>
        </row>
        <row r="28">
          <cell r="U28">
            <v>1740</v>
          </cell>
          <cell r="V28">
            <v>0</v>
          </cell>
        </row>
        <row r="29">
          <cell r="U29">
            <v>550</v>
          </cell>
          <cell r="V29">
            <v>0</v>
          </cell>
        </row>
        <row r="30">
          <cell r="D30">
            <v>17</v>
          </cell>
          <cell r="U30">
            <v>1380</v>
          </cell>
          <cell r="V30">
            <v>23460</v>
          </cell>
        </row>
        <row r="31">
          <cell r="D31">
            <v>1208</v>
          </cell>
          <cell r="U31">
            <v>1110</v>
          </cell>
          <cell r="V31">
            <v>1340880</v>
          </cell>
        </row>
        <row r="32">
          <cell r="U32">
            <v>1020</v>
          </cell>
          <cell r="V32">
            <v>0</v>
          </cell>
        </row>
        <row r="34">
          <cell r="U34">
            <v>3340</v>
          </cell>
          <cell r="V34">
            <v>0</v>
          </cell>
        </row>
        <row r="35">
          <cell r="D35">
            <v>603</v>
          </cell>
          <cell r="U35">
            <v>1840</v>
          </cell>
          <cell r="V35">
            <v>1109520</v>
          </cell>
        </row>
        <row r="36">
          <cell r="D36">
            <v>3</v>
          </cell>
          <cell r="U36">
            <v>1840</v>
          </cell>
          <cell r="V36">
            <v>5520</v>
          </cell>
        </row>
        <row r="37">
          <cell r="D37">
            <v>399</v>
          </cell>
          <cell r="U37">
            <v>550</v>
          </cell>
          <cell r="V37">
            <v>219450</v>
          </cell>
        </row>
        <row r="39">
          <cell r="D39">
            <v>25</v>
          </cell>
          <cell r="U39">
            <v>1590</v>
          </cell>
          <cell r="V39">
            <v>39750</v>
          </cell>
        </row>
        <row r="40">
          <cell r="D40">
            <v>14</v>
          </cell>
          <cell r="U40">
            <v>1590</v>
          </cell>
          <cell r="V40">
            <v>22260</v>
          </cell>
        </row>
        <row r="41">
          <cell r="U41">
            <v>910</v>
          </cell>
          <cell r="V41">
            <v>0</v>
          </cell>
        </row>
        <row r="43">
          <cell r="D43">
            <v>2855</v>
          </cell>
          <cell r="U43">
            <v>700</v>
          </cell>
          <cell r="V43">
            <v>1998500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1240</v>
          </cell>
          <cell r="V47">
            <v>0</v>
          </cell>
        </row>
        <row r="48">
          <cell r="D48">
            <v>461</v>
          </cell>
          <cell r="U48">
            <v>600</v>
          </cell>
          <cell r="V48">
            <v>276600</v>
          </cell>
        </row>
        <row r="49">
          <cell r="D49">
            <v>864</v>
          </cell>
          <cell r="U49">
            <v>1840</v>
          </cell>
          <cell r="V49">
            <v>1589760</v>
          </cell>
        </row>
        <row r="50">
          <cell r="D50">
            <v>43</v>
          </cell>
          <cell r="U50">
            <v>13790</v>
          </cell>
          <cell r="V50">
            <v>592970</v>
          </cell>
        </row>
        <row r="51">
          <cell r="D51">
            <v>59</v>
          </cell>
          <cell r="U51">
            <v>31670</v>
          </cell>
          <cell r="V51">
            <v>1868530</v>
          </cell>
        </row>
        <row r="52">
          <cell r="D52">
            <v>21</v>
          </cell>
          <cell r="V52">
            <v>165900</v>
          </cell>
        </row>
        <row r="59">
          <cell r="D59">
            <v>5360</v>
          </cell>
          <cell r="U59">
            <v>30310</v>
          </cell>
          <cell r="V59">
            <v>162461600</v>
          </cell>
        </row>
        <row r="60">
          <cell r="U60">
            <v>27900</v>
          </cell>
          <cell r="V60">
            <v>0</v>
          </cell>
        </row>
        <row r="61">
          <cell r="U61">
            <v>23260</v>
          </cell>
          <cell r="V61">
            <v>0</v>
          </cell>
        </row>
        <row r="62">
          <cell r="U62">
            <v>126000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207</v>
          </cell>
          <cell r="U65">
            <v>60860</v>
          </cell>
          <cell r="V65">
            <v>12598020</v>
          </cell>
        </row>
        <row r="66">
          <cell r="D66">
            <v>126</v>
          </cell>
          <cell r="V66">
            <v>7668360</v>
          </cell>
        </row>
        <row r="67">
          <cell r="V67">
            <v>0</v>
          </cell>
        </row>
        <row r="68">
          <cell r="D68">
            <v>200</v>
          </cell>
          <cell r="U68">
            <v>54600</v>
          </cell>
          <cell r="V68">
            <v>10920000</v>
          </cell>
        </row>
        <row r="69">
          <cell r="U69">
            <v>15500</v>
          </cell>
          <cell r="V69">
            <v>0</v>
          </cell>
        </row>
        <row r="70">
          <cell r="U70">
            <v>24280</v>
          </cell>
          <cell r="V70">
            <v>0</v>
          </cell>
        </row>
        <row r="71">
          <cell r="U71">
            <v>25270</v>
          </cell>
          <cell r="V71">
            <v>0</v>
          </cell>
        </row>
        <row r="72">
          <cell r="U72">
            <v>10190</v>
          </cell>
          <cell r="V72">
            <v>0</v>
          </cell>
        </row>
        <row r="73">
          <cell r="U73">
            <v>24470</v>
          </cell>
          <cell r="V73">
            <v>0</v>
          </cell>
        </row>
        <row r="74">
          <cell r="U74">
            <v>10190</v>
          </cell>
          <cell r="V74">
            <v>0</v>
          </cell>
        </row>
        <row r="75">
          <cell r="D75">
            <v>29</v>
          </cell>
          <cell r="U75">
            <v>4490</v>
          </cell>
          <cell r="V75">
            <v>130210</v>
          </cell>
        </row>
        <row r="76">
          <cell r="U76">
            <v>30310</v>
          </cell>
          <cell r="V76">
            <v>0</v>
          </cell>
        </row>
        <row r="77">
          <cell r="U77">
            <v>81940</v>
          </cell>
          <cell r="V77">
            <v>0</v>
          </cell>
        </row>
        <row r="78">
          <cell r="U78">
            <v>9670</v>
          </cell>
          <cell r="V78">
            <v>0</v>
          </cell>
        </row>
        <row r="79">
          <cell r="D79">
            <v>43</v>
          </cell>
          <cell r="U79">
            <v>5880</v>
          </cell>
          <cell r="V79">
            <v>252840</v>
          </cell>
        </row>
        <row r="80">
          <cell r="U80">
            <v>42470</v>
          </cell>
          <cell r="V80">
            <v>0</v>
          </cell>
        </row>
        <row r="81">
          <cell r="U81">
            <v>7450</v>
          </cell>
          <cell r="V81">
            <v>0</v>
          </cell>
        </row>
        <row r="83">
          <cell r="V83">
            <v>17392390</v>
          </cell>
        </row>
        <row r="174">
          <cell r="V174">
            <v>21480980</v>
          </cell>
        </row>
        <row r="243">
          <cell r="V243">
            <v>3249900</v>
          </cell>
        </row>
        <row r="289">
          <cell r="V289">
            <v>0</v>
          </cell>
        </row>
        <row r="295">
          <cell r="V295">
            <v>4496330</v>
          </cell>
        </row>
        <row r="362">
          <cell r="V362">
            <v>9316440</v>
          </cell>
        </row>
        <row r="405">
          <cell r="V405">
            <v>358490</v>
          </cell>
        </row>
        <row r="428">
          <cell r="V428">
            <v>3325990</v>
          </cell>
        </row>
        <row r="446">
          <cell r="V446">
            <v>0</v>
          </cell>
        </row>
        <row r="456">
          <cell r="V456">
            <v>106510</v>
          </cell>
        </row>
        <row r="500">
          <cell r="V500">
            <v>2723040</v>
          </cell>
        </row>
        <row r="535">
          <cell r="V535">
            <v>18741090</v>
          </cell>
        </row>
        <row r="590">
          <cell r="V590">
            <v>85480</v>
          </cell>
        </row>
        <row r="615">
          <cell r="V615">
            <v>15936910</v>
          </cell>
        </row>
        <row r="633">
          <cell r="V633">
            <v>13017760</v>
          </cell>
        </row>
        <row r="634">
          <cell r="V634">
            <v>0</v>
          </cell>
        </row>
        <row r="654">
          <cell r="V654">
            <v>0</v>
          </cell>
        </row>
        <row r="670">
          <cell r="V670">
            <v>0</v>
          </cell>
        </row>
        <row r="697">
          <cell r="V697">
            <v>0</v>
          </cell>
        </row>
        <row r="716">
          <cell r="V716">
            <v>0</v>
          </cell>
        </row>
        <row r="723">
          <cell r="V723">
            <v>0</v>
          </cell>
        </row>
        <row r="726">
          <cell r="V726">
            <v>0</v>
          </cell>
        </row>
        <row r="743">
          <cell r="V743">
            <v>0</v>
          </cell>
        </row>
        <row r="760">
          <cell r="V760">
            <v>0</v>
          </cell>
        </row>
        <row r="764">
          <cell r="D764">
            <v>378</v>
          </cell>
          <cell r="V764">
            <v>2409410</v>
          </cell>
        </row>
        <row r="779">
          <cell r="V779">
            <v>0</v>
          </cell>
        </row>
        <row r="791">
          <cell r="D791">
            <v>167</v>
          </cell>
          <cell r="U791">
            <v>6330</v>
          </cell>
          <cell r="V791">
            <v>1057110</v>
          </cell>
        </row>
        <row r="792">
          <cell r="U792">
            <v>2480</v>
          </cell>
          <cell r="V792">
            <v>0</v>
          </cell>
        </row>
        <row r="793">
          <cell r="D793">
            <v>539</v>
          </cell>
          <cell r="U793">
            <v>2480</v>
          </cell>
          <cell r="V793">
            <v>1336720</v>
          </cell>
        </row>
        <row r="794">
          <cell r="D794">
            <v>1</v>
          </cell>
          <cell r="U794">
            <v>9880</v>
          </cell>
          <cell r="V794">
            <v>9880</v>
          </cell>
        </row>
        <row r="795">
          <cell r="D795">
            <v>19</v>
          </cell>
          <cell r="U795">
            <v>11570</v>
          </cell>
          <cell r="V795">
            <v>219830</v>
          </cell>
        </row>
        <row r="796">
          <cell r="U796">
            <v>26240</v>
          </cell>
          <cell r="V796">
            <v>0</v>
          </cell>
        </row>
        <row r="797">
          <cell r="U797">
            <v>2882</v>
          </cell>
          <cell r="V797">
            <v>0</v>
          </cell>
        </row>
        <row r="798">
          <cell r="U798">
            <v>6766</v>
          </cell>
          <cell r="V798">
            <v>0</v>
          </cell>
        </row>
        <row r="801">
          <cell r="U801">
            <v>13080</v>
          </cell>
          <cell r="V801">
            <v>0</v>
          </cell>
        </row>
        <row r="802">
          <cell r="D802">
            <v>16</v>
          </cell>
          <cell r="U802">
            <v>10470</v>
          </cell>
          <cell r="V802">
            <v>167520</v>
          </cell>
        </row>
        <row r="803">
          <cell r="U803">
            <v>355150</v>
          </cell>
          <cell r="V803">
            <v>0</v>
          </cell>
        </row>
        <row r="807">
          <cell r="V807">
            <v>0</v>
          </cell>
        </row>
        <row r="878">
          <cell r="V878">
            <v>38284450</v>
          </cell>
        </row>
        <row r="957">
          <cell r="V957">
            <v>1147990</v>
          </cell>
        </row>
        <row r="1032">
          <cell r="U1032">
            <v>8370</v>
          </cell>
          <cell r="V1032">
            <v>0</v>
          </cell>
        </row>
        <row r="1033">
          <cell r="V1033">
            <v>21390</v>
          </cell>
        </row>
        <row r="1094">
          <cell r="V1094">
            <v>4934890</v>
          </cell>
        </row>
        <row r="1162">
          <cell r="V1162">
            <v>2950140</v>
          </cell>
        </row>
        <row r="1186">
          <cell r="D1186">
            <v>802</v>
          </cell>
          <cell r="U1186">
            <v>4480</v>
          </cell>
          <cell r="V1186">
            <v>3592960</v>
          </cell>
        </row>
        <row r="1187">
          <cell r="D1187">
            <v>28</v>
          </cell>
          <cell r="U1187">
            <v>12640</v>
          </cell>
          <cell r="V1187">
            <v>353920</v>
          </cell>
        </row>
        <row r="1188">
          <cell r="D1188">
            <v>36</v>
          </cell>
          <cell r="U1188">
            <v>21430</v>
          </cell>
          <cell r="V1188">
            <v>771480</v>
          </cell>
        </row>
        <row r="1189">
          <cell r="U1189">
            <v>40910</v>
          </cell>
          <cell r="V1189">
            <v>0</v>
          </cell>
        </row>
        <row r="1190">
          <cell r="D1190">
            <v>51</v>
          </cell>
          <cell r="U1190">
            <v>45600</v>
          </cell>
          <cell r="V1190">
            <v>2325600</v>
          </cell>
        </row>
        <row r="1191">
          <cell r="U1191">
            <v>25580</v>
          </cell>
          <cell r="V1191">
            <v>0</v>
          </cell>
        </row>
        <row r="1192">
          <cell r="U1192">
            <v>197910</v>
          </cell>
          <cell r="V1192">
            <v>0</v>
          </cell>
        </row>
        <row r="1193">
          <cell r="U1193">
            <v>224990</v>
          </cell>
          <cell r="V1193">
            <v>0</v>
          </cell>
        </row>
        <row r="1194">
          <cell r="U1194">
            <v>183470</v>
          </cell>
          <cell r="V1194">
            <v>0</v>
          </cell>
        </row>
        <row r="1195">
          <cell r="U1195">
            <v>235660</v>
          </cell>
          <cell r="V1195">
            <v>0</v>
          </cell>
        </row>
        <row r="1196">
          <cell r="U1196">
            <v>241140</v>
          </cell>
          <cell r="V1196">
            <v>0</v>
          </cell>
        </row>
        <row r="1197">
          <cell r="U1197">
            <v>203920</v>
          </cell>
          <cell r="V1197">
            <v>0</v>
          </cell>
        </row>
        <row r="1198">
          <cell r="U1198">
            <v>217670</v>
          </cell>
          <cell r="V1198">
            <v>0</v>
          </cell>
        </row>
        <row r="1199">
          <cell r="U1199">
            <v>260270</v>
          </cell>
          <cell r="V1199">
            <v>0</v>
          </cell>
        </row>
        <row r="1200">
          <cell r="U1200">
            <v>230810</v>
          </cell>
          <cell r="V1200">
            <v>0</v>
          </cell>
        </row>
        <row r="1201">
          <cell r="U1201">
            <v>1689070</v>
          </cell>
          <cell r="V1201">
            <v>0</v>
          </cell>
        </row>
        <row r="1202">
          <cell r="U1202">
            <v>1054990</v>
          </cell>
          <cell r="V1202">
            <v>0</v>
          </cell>
        </row>
        <row r="1203">
          <cell r="U1203">
            <v>1021110</v>
          </cell>
          <cell r="V1203">
            <v>0</v>
          </cell>
        </row>
        <row r="1204">
          <cell r="U1204">
            <v>1069740</v>
          </cell>
          <cell r="V1204">
            <v>0</v>
          </cell>
        </row>
        <row r="1205">
          <cell r="U1205">
            <v>151380</v>
          </cell>
          <cell r="V1205">
            <v>0</v>
          </cell>
        </row>
        <row r="1206">
          <cell r="U1206">
            <v>345440</v>
          </cell>
          <cell r="V1206">
            <v>0</v>
          </cell>
        </row>
        <row r="1207">
          <cell r="U1207">
            <v>128060</v>
          </cell>
          <cell r="V1207">
            <v>0</v>
          </cell>
        </row>
        <row r="1208">
          <cell r="U1208">
            <v>1037610</v>
          </cell>
          <cell r="V1208">
            <v>0</v>
          </cell>
        </row>
        <row r="1209">
          <cell r="U1209">
            <v>1037610</v>
          </cell>
          <cell r="V1209">
            <v>0</v>
          </cell>
        </row>
        <row r="1210">
          <cell r="V1210">
            <v>423350</v>
          </cell>
        </row>
        <row r="1276">
          <cell r="V1276">
            <v>144870</v>
          </cell>
        </row>
        <row r="1343">
          <cell r="D1343">
            <v>33</v>
          </cell>
          <cell r="U1343">
            <v>30950</v>
          </cell>
          <cell r="V1343">
            <v>1021350</v>
          </cell>
        </row>
        <row r="1344">
          <cell r="U1344">
            <v>37330</v>
          </cell>
          <cell r="V1344">
            <v>0</v>
          </cell>
        </row>
        <row r="1345">
          <cell r="D1345">
            <v>1</v>
          </cell>
          <cell r="U1345">
            <v>39760</v>
          </cell>
          <cell r="V1345">
            <v>39760</v>
          </cell>
        </row>
        <row r="1346">
          <cell r="V1346">
            <v>39884815</v>
          </cell>
        </row>
        <row r="1430">
          <cell r="V1430">
            <v>689990</v>
          </cell>
        </row>
        <row r="1470">
          <cell r="U1470">
            <v>38160</v>
          </cell>
          <cell r="V1470">
            <v>0</v>
          </cell>
        </row>
        <row r="1471">
          <cell r="U1471">
            <v>24000</v>
          </cell>
          <cell r="V1471">
            <v>0</v>
          </cell>
        </row>
        <row r="1472">
          <cell r="U1472">
            <v>24000</v>
          </cell>
          <cell r="V1472">
            <v>0</v>
          </cell>
        </row>
        <row r="1473">
          <cell r="U1473">
            <v>726900</v>
          </cell>
          <cell r="V1473">
            <v>0</v>
          </cell>
        </row>
        <row r="1474">
          <cell r="U1474">
            <v>515080</v>
          </cell>
          <cell r="V1474">
            <v>0</v>
          </cell>
        </row>
        <row r="1475">
          <cell r="U1475">
            <v>43850</v>
          </cell>
          <cell r="V1475">
            <v>0</v>
          </cell>
        </row>
        <row r="1476">
          <cell r="U1476">
            <v>591930</v>
          </cell>
          <cell r="V1476">
            <v>0</v>
          </cell>
        </row>
        <row r="1477">
          <cell r="V1477">
            <v>5269685</v>
          </cell>
        </row>
        <row r="1562">
          <cell r="V1562">
            <v>7527460</v>
          </cell>
        </row>
        <row r="1580">
          <cell r="V1580">
            <v>1405280</v>
          </cell>
        </row>
        <row r="1585">
          <cell r="V1585">
            <v>5145825</v>
          </cell>
        </row>
        <row r="1619">
          <cell r="V1619">
            <v>8568540</v>
          </cell>
        </row>
        <row r="1620">
          <cell r="D1620">
            <v>4</v>
          </cell>
          <cell r="V1620">
            <v>372600</v>
          </cell>
        </row>
        <row r="1621">
          <cell r="D1621">
            <v>21</v>
          </cell>
          <cell r="F1621">
            <v>1</v>
          </cell>
          <cell r="V1621">
            <v>1923390</v>
          </cell>
        </row>
        <row r="1622">
          <cell r="D1622">
            <v>53</v>
          </cell>
          <cell r="V1622">
            <v>6272550</v>
          </cell>
        </row>
        <row r="1623">
          <cell r="V1623">
            <v>0</v>
          </cell>
        </row>
        <row r="1624">
          <cell r="D1624">
            <v>81</v>
          </cell>
          <cell r="U1624">
            <v>118340</v>
          </cell>
          <cell r="V1624">
            <v>9585540</v>
          </cell>
        </row>
        <row r="1625">
          <cell r="D1625">
            <v>1</v>
          </cell>
          <cell r="U1625">
            <v>124520</v>
          </cell>
          <cell r="V1625">
            <v>124520</v>
          </cell>
        </row>
        <row r="1627">
          <cell r="V1627">
            <v>6484080</v>
          </cell>
        </row>
        <row r="1833">
          <cell r="D1833">
            <v>9</v>
          </cell>
          <cell r="F1833">
            <v>0</v>
          </cell>
          <cell r="G1833">
            <v>0</v>
          </cell>
          <cell r="V1833">
            <v>445410</v>
          </cell>
        </row>
        <row r="1837">
          <cell r="D1837">
            <v>21</v>
          </cell>
          <cell r="V1837">
            <v>1440400</v>
          </cell>
        </row>
        <row r="1849">
          <cell r="D1849">
            <v>41</v>
          </cell>
          <cell r="U1849">
            <v>25670</v>
          </cell>
          <cell r="V1849">
            <v>1052470</v>
          </cell>
        </row>
        <row r="1851">
          <cell r="D1851">
            <v>248</v>
          </cell>
          <cell r="U1851">
            <v>16920</v>
          </cell>
          <cell r="V1851">
            <v>4196160</v>
          </cell>
        </row>
        <row r="1852">
          <cell r="D1852">
            <v>176</v>
          </cell>
          <cell r="U1852">
            <v>53200</v>
          </cell>
          <cell r="V1852">
            <v>9363200</v>
          </cell>
        </row>
        <row r="1853">
          <cell r="U1853">
            <v>65950</v>
          </cell>
          <cell r="V1853">
            <v>0</v>
          </cell>
        </row>
        <row r="1854">
          <cell r="D1854">
            <v>153</v>
          </cell>
          <cell r="U1854">
            <v>2320</v>
          </cell>
          <cell r="V1854">
            <v>354960</v>
          </cell>
        </row>
        <row r="1855">
          <cell r="U1855">
            <v>70</v>
          </cell>
          <cell r="V1855">
            <v>0</v>
          </cell>
        </row>
        <row r="1856">
          <cell r="U1856">
            <v>140030</v>
          </cell>
          <cell r="V1856">
            <v>0</v>
          </cell>
        </row>
        <row r="1857">
          <cell r="U1857">
            <v>9520</v>
          </cell>
          <cell r="V1857">
            <v>0</v>
          </cell>
        </row>
        <row r="1859">
          <cell r="V1859">
            <v>5488630</v>
          </cell>
        </row>
        <row r="1876">
          <cell r="V1876">
            <v>5699830</v>
          </cell>
        </row>
        <row r="1895">
          <cell r="V1895">
            <v>3580070</v>
          </cell>
        </row>
        <row r="1920">
          <cell r="D1920">
            <v>279</v>
          </cell>
          <cell r="U1920">
            <v>17720</v>
          </cell>
          <cell r="V1920">
            <v>4943880</v>
          </cell>
        </row>
        <row r="1921">
          <cell r="U1921">
            <v>222170</v>
          </cell>
          <cell r="V1921">
            <v>0</v>
          </cell>
        </row>
        <row r="1923">
          <cell r="U1923">
            <v>226920</v>
          </cell>
          <cell r="V1923">
            <v>0</v>
          </cell>
        </row>
        <row r="1924">
          <cell r="U1924">
            <v>32250</v>
          </cell>
          <cell r="V1924">
            <v>0</v>
          </cell>
        </row>
        <row r="1925">
          <cell r="U1925">
            <v>121620</v>
          </cell>
          <cell r="V1925">
            <v>0</v>
          </cell>
        </row>
        <row r="1926">
          <cell r="U1926">
            <v>121620</v>
          </cell>
          <cell r="V1926">
            <v>0</v>
          </cell>
        </row>
        <row r="1927">
          <cell r="U1927">
            <v>221430</v>
          </cell>
          <cell r="V1927">
            <v>0</v>
          </cell>
        </row>
        <row r="1928">
          <cell r="U1928">
            <v>339820</v>
          </cell>
          <cell r="V1928">
            <v>0</v>
          </cell>
        </row>
        <row r="1929">
          <cell r="U1929">
            <v>579700</v>
          </cell>
          <cell r="V1929">
            <v>0</v>
          </cell>
        </row>
        <row r="1930">
          <cell r="U1930">
            <v>120740</v>
          </cell>
          <cell r="V1930">
            <v>0</v>
          </cell>
        </row>
        <row r="1931">
          <cell r="U1931">
            <v>325420</v>
          </cell>
          <cell r="V1931">
            <v>0</v>
          </cell>
        </row>
        <row r="1932">
          <cell r="U1932">
            <v>137020</v>
          </cell>
          <cell r="V1932">
            <v>0</v>
          </cell>
        </row>
        <row r="1933">
          <cell r="U1933">
            <v>119070</v>
          </cell>
          <cell r="V1933">
            <v>0</v>
          </cell>
        </row>
        <row r="1934">
          <cell r="U1934">
            <v>181020</v>
          </cell>
          <cell r="V1934">
            <v>0</v>
          </cell>
        </row>
        <row r="1935">
          <cell r="U1935">
            <v>47640</v>
          </cell>
          <cell r="V1935">
            <v>0</v>
          </cell>
        </row>
        <row r="1936">
          <cell r="U1936">
            <v>35600</v>
          </cell>
          <cell r="V1936">
            <v>0</v>
          </cell>
        </row>
        <row r="1937">
          <cell r="U1937">
            <v>195210</v>
          </cell>
          <cell r="V1937">
            <v>0</v>
          </cell>
        </row>
        <row r="1938">
          <cell r="U1938">
            <v>1161300</v>
          </cell>
          <cell r="V1938">
            <v>0</v>
          </cell>
        </row>
        <row r="1939">
          <cell r="U1939">
            <v>175210</v>
          </cell>
          <cell r="V1939">
            <v>0</v>
          </cell>
        </row>
        <row r="1940">
          <cell r="U1940">
            <v>154940</v>
          </cell>
          <cell r="V1940">
            <v>0</v>
          </cell>
        </row>
        <row r="1941">
          <cell r="U1941">
            <v>314530</v>
          </cell>
          <cell r="V1941">
            <v>0</v>
          </cell>
        </row>
        <row r="1942">
          <cell r="U1942">
            <v>1045930</v>
          </cell>
          <cell r="V1942">
            <v>0</v>
          </cell>
        </row>
        <row r="1943">
          <cell r="U1943">
            <v>1074870</v>
          </cell>
          <cell r="V1943">
            <v>0</v>
          </cell>
        </row>
        <row r="1944">
          <cell r="U1944">
            <v>851060</v>
          </cell>
          <cell r="V1944">
            <v>0</v>
          </cell>
        </row>
        <row r="1945">
          <cell r="U1945">
            <v>896940</v>
          </cell>
          <cell r="V1945">
            <v>0</v>
          </cell>
        </row>
        <row r="1946">
          <cell r="U1946">
            <v>353830</v>
          </cell>
          <cell r="V1946">
            <v>0</v>
          </cell>
        </row>
        <row r="1947">
          <cell r="U1947">
            <v>84740</v>
          </cell>
          <cell r="V1947">
            <v>0</v>
          </cell>
        </row>
        <row r="1948">
          <cell r="U1948">
            <v>252810</v>
          </cell>
          <cell r="V1948">
            <v>0</v>
          </cell>
        </row>
        <row r="1949">
          <cell r="U1949">
            <v>71480</v>
          </cell>
          <cell r="V1949">
            <v>0</v>
          </cell>
        </row>
        <row r="1950">
          <cell r="U1950">
            <v>1228260</v>
          </cell>
          <cell r="V1950">
            <v>0</v>
          </cell>
        </row>
        <row r="1951">
          <cell r="U1951">
            <v>287200</v>
          </cell>
          <cell r="V1951">
            <v>0</v>
          </cell>
        </row>
        <row r="1952">
          <cell r="U1952">
            <v>962120</v>
          </cell>
          <cell r="V1952">
            <v>0</v>
          </cell>
        </row>
        <row r="1953">
          <cell r="U1953">
            <v>589010</v>
          </cell>
          <cell r="V1953">
            <v>0</v>
          </cell>
        </row>
        <row r="1954">
          <cell r="U1954">
            <v>480670</v>
          </cell>
          <cell r="V1954">
            <v>0</v>
          </cell>
        </row>
        <row r="1955">
          <cell r="U1955">
            <v>259110</v>
          </cell>
          <cell r="V1955">
            <v>0</v>
          </cell>
        </row>
        <row r="1956">
          <cell r="U1956">
            <v>151070</v>
          </cell>
          <cell r="V1956">
            <v>0</v>
          </cell>
        </row>
        <row r="1957">
          <cell r="U1957">
            <v>365020</v>
          </cell>
          <cell r="V1957">
            <v>0</v>
          </cell>
        </row>
        <row r="1958">
          <cell r="U1958">
            <v>378270</v>
          </cell>
          <cell r="V1958">
            <v>0</v>
          </cell>
        </row>
        <row r="1959">
          <cell r="U1959">
            <v>236360</v>
          </cell>
          <cell r="V1959">
            <v>0</v>
          </cell>
        </row>
        <row r="1960">
          <cell r="D1960">
            <v>90</v>
          </cell>
          <cell r="U1960">
            <v>32140</v>
          </cell>
          <cell r="V1960">
            <v>2892600</v>
          </cell>
        </row>
        <row r="1962">
          <cell r="D1962">
            <v>6</v>
          </cell>
          <cell r="U1962">
            <v>6320</v>
          </cell>
          <cell r="V1962">
            <v>37920</v>
          </cell>
        </row>
        <row r="1963">
          <cell r="U1963">
            <v>3370</v>
          </cell>
          <cell r="V1963">
            <v>0</v>
          </cell>
        </row>
        <row r="1964">
          <cell r="D1964">
            <v>2</v>
          </cell>
          <cell r="U1964">
            <v>12690</v>
          </cell>
          <cell r="V1964">
            <v>25380</v>
          </cell>
        </row>
        <row r="1965">
          <cell r="U1965">
            <v>130140</v>
          </cell>
          <cell r="V1965">
            <v>0</v>
          </cell>
        </row>
        <row r="1966">
          <cell r="U1966">
            <v>714770</v>
          </cell>
          <cell r="V196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2011</v>
          </cell>
        </row>
        <row r="11">
          <cell r="B11" t="str">
            <v xml:space="preserve">DR. RUBEN BRAVO  CASTILLO </v>
          </cell>
        </row>
        <row r="12">
          <cell r="A12" t="str">
            <v>Jefe de Estadisticas</v>
          </cell>
          <cell r="B12" t="str">
            <v xml:space="preserve">SRA. MARIA INES NUÑEZ </v>
          </cell>
        </row>
      </sheetData>
      <sheetData sheetId="1" refreshError="1"/>
      <sheetData sheetId="2">
        <row r="12">
          <cell r="D12">
            <v>46572</v>
          </cell>
        </row>
        <row r="13">
          <cell r="D13">
            <v>17271</v>
          </cell>
        </row>
        <row r="14">
          <cell r="D14">
            <v>20005</v>
          </cell>
        </row>
        <row r="15">
          <cell r="D15">
            <v>1180</v>
          </cell>
        </row>
        <row r="16">
          <cell r="D16">
            <v>0</v>
          </cell>
        </row>
        <row r="17">
          <cell r="D17">
            <v>1112</v>
          </cell>
        </row>
        <row r="18">
          <cell r="D18">
            <v>4585</v>
          </cell>
        </row>
        <row r="19">
          <cell r="D19">
            <v>3741</v>
          </cell>
        </row>
        <row r="20">
          <cell r="D20">
            <v>98</v>
          </cell>
        </row>
        <row r="21">
          <cell r="D21">
            <v>746</v>
          </cell>
        </row>
        <row r="22">
          <cell r="D22">
            <v>0</v>
          </cell>
        </row>
        <row r="23">
          <cell r="D23">
            <v>42</v>
          </cell>
        </row>
        <row r="24">
          <cell r="D24">
            <v>2377</v>
          </cell>
        </row>
        <row r="25">
          <cell r="D25">
            <v>4453</v>
          </cell>
        </row>
        <row r="26">
          <cell r="D26">
            <v>3057</v>
          </cell>
        </row>
        <row r="27">
          <cell r="D27">
            <v>3</v>
          </cell>
        </row>
        <row r="28">
          <cell r="D28">
            <v>366</v>
          </cell>
        </row>
        <row r="30">
          <cell r="D30">
            <v>793</v>
          </cell>
        </row>
        <row r="31">
          <cell r="D31">
            <v>0</v>
          </cell>
        </row>
        <row r="32">
          <cell r="D32">
            <v>234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6">
          <cell r="F66">
            <v>0</v>
          </cell>
          <cell r="G66">
            <v>0</v>
          </cell>
          <cell r="H66">
            <v>0</v>
          </cell>
        </row>
        <row r="67">
          <cell r="F67">
            <v>89</v>
          </cell>
          <cell r="G67">
            <v>0</v>
          </cell>
          <cell r="H67">
            <v>0</v>
          </cell>
        </row>
        <row r="68">
          <cell r="F68">
            <v>12</v>
          </cell>
          <cell r="G68">
            <v>0</v>
          </cell>
          <cell r="H68">
            <v>0</v>
          </cell>
        </row>
        <row r="69">
          <cell r="F69">
            <v>5</v>
          </cell>
          <cell r="G69">
            <v>1</v>
          </cell>
          <cell r="H69">
            <v>0</v>
          </cell>
        </row>
        <row r="70">
          <cell r="F70">
            <v>96</v>
          </cell>
          <cell r="G70">
            <v>1</v>
          </cell>
          <cell r="H70">
            <v>0</v>
          </cell>
        </row>
        <row r="71">
          <cell r="F71">
            <v>91</v>
          </cell>
          <cell r="G71">
            <v>0</v>
          </cell>
          <cell r="H71">
            <v>0</v>
          </cell>
        </row>
        <row r="72">
          <cell r="F72">
            <v>1</v>
          </cell>
          <cell r="G72">
            <v>0</v>
          </cell>
          <cell r="H72">
            <v>0</v>
          </cell>
        </row>
        <row r="73">
          <cell r="F73">
            <v>2</v>
          </cell>
          <cell r="G73">
            <v>0</v>
          </cell>
          <cell r="H73">
            <v>0</v>
          </cell>
        </row>
        <row r="74">
          <cell r="F74">
            <v>177</v>
          </cell>
          <cell r="G74">
            <v>17</v>
          </cell>
          <cell r="H74">
            <v>0</v>
          </cell>
        </row>
        <row r="75">
          <cell r="F75">
            <v>5</v>
          </cell>
          <cell r="G75">
            <v>0</v>
          </cell>
          <cell r="H75">
            <v>0</v>
          </cell>
        </row>
        <row r="76">
          <cell r="F76">
            <v>19</v>
          </cell>
          <cell r="G76">
            <v>0</v>
          </cell>
          <cell r="H76">
            <v>0</v>
          </cell>
        </row>
        <row r="77">
          <cell r="F77">
            <v>6</v>
          </cell>
          <cell r="G77">
            <v>0</v>
          </cell>
          <cell r="H77">
            <v>0</v>
          </cell>
        </row>
        <row r="78">
          <cell r="F78">
            <v>37</v>
          </cell>
          <cell r="G78">
            <v>4</v>
          </cell>
          <cell r="H78">
            <v>0</v>
          </cell>
        </row>
        <row r="79">
          <cell r="F79">
            <v>77</v>
          </cell>
          <cell r="G79">
            <v>0</v>
          </cell>
          <cell r="H79">
            <v>0</v>
          </cell>
        </row>
        <row r="80">
          <cell r="F80">
            <v>39</v>
          </cell>
          <cell r="G80">
            <v>4</v>
          </cell>
          <cell r="H80">
            <v>0</v>
          </cell>
        </row>
        <row r="120">
          <cell r="E120">
            <v>1292</v>
          </cell>
        </row>
      </sheetData>
      <sheetData sheetId="3">
        <row r="13">
          <cell r="U13">
            <v>3830</v>
          </cell>
          <cell r="V13">
            <v>0</v>
          </cell>
        </row>
        <row r="14">
          <cell r="U14">
            <v>4820</v>
          </cell>
          <cell r="V14">
            <v>0</v>
          </cell>
        </row>
        <row r="15">
          <cell r="D15">
            <v>7409</v>
          </cell>
          <cell r="U15">
            <v>10320</v>
          </cell>
          <cell r="V15">
            <v>76460880</v>
          </cell>
        </row>
        <row r="16">
          <cell r="U16">
            <v>6170</v>
          </cell>
          <cell r="V16">
            <v>0</v>
          </cell>
        </row>
        <row r="17">
          <cell r="U17">
            <v>6770</v>
          </cell>
          <cell r="V17">
            <v>0</v>
          </cell>
        </row>
        <row r="18">
          <cell r="U18">
            <v>12950</v>
          </cell>
          <cell r="V18">
            <v>0</v>
          </cell>
        </row>
        <row r="19">
          <cell r="D19">
            <v>73</v>
          </cell>
          <cell r="U19">
            <v>12950</v>
          </cell>
          <cell r="V19">
            <v>945350</v>
          </cell>
        </row>
        <row r="20">
          <cell r="U20">
            <v>5210</v>
          </cell>
          <cell r="V20">
            <v>0</v>
          </cell>
        </row>
        <row r="21">
          <cell r="U21">
            <v>6250</v>
          </cell>
          <cell r="V21">
            <v>0</v>
          </cell>
        </row>
        <row r="22">
          <cell r="U22">
            <v>7760</v>
          </cell>
          <cell r="V22">
            <v>0</v>
          </cell>
        </row>
        <row r="23">
          <cell r="D23">
            <v>1451</v>
          </cell>
          <cell r="U23">
            <v>5210</v>
          </cell>
          <cell r="V23">
            <v>7559710</v>
          </cell>
        </row>
        <row r="24">
          <cell r="D24">
            <v>625</v>
          </cell>
          <cell r="U24">
            <v>6250</v>
          </cell>
          <cell r="V24">
            <v>3906250</v>
          </cell>
        </row>
        <row r="25">
          <cell r="D25">
            <v>1660</v>
          </cell>
          <cell r="U25">
            <v>7760</v>
          </cell>
          <cell r="V25">
            <v>12881600</v>
          </cell>
        </row>
        <row r="27">
          <cell r="D27">
            <v>1320</v>
          </cell>
          <cell r="U27">
            <v>1020</v>
          </cell>
          <cell r="V27">
            <v>1346400</v>
          </cell>
        </row>
        <row r="28">
          <cell r="U28">
            <v>1740</v>
          </cell>
          <cell r="V28">
            <v>0</v>
          </cell>
        </row>
        <row r="29">
          <cell r="U29">
            <v>550</v>
          </cell>
          <cell r="V29">
            <v>0</v>
          </cell>
        </row>
        <row r="30">
          <cell r="D30">
            <v>15</v>
          </cell>
          <cell r="U30">
            <v>1380</v>
          </cell>
          <cell r="V30">
            <v>20700</v>
          </cell>
        </row>
        <row r="31">
          <cell r="D31">
            <v>1241</v>
          </cell>
          <cell r="U31">
            <v>1110</v>
          </cell>
          <cell r="V31">
            <v>1377510</v>
          </cell>
        </row>
        <row r="32">
          <cell r="U32">
            <v>1020</v>
          </cell>
          <cell r="V32">
            <v>0</v>
          </cell>
        </row>
        <row r="34">
          <cell r="U34">
            <v>3340</v>
          </cell>
          <cell r="V34">
            <v>0</v>
          </cell>
        </row>
        <row r="35">
          <cell r="D35">
            <v>567</v>
          </cell>
          <cell r="U35">
            <v>1840</v>
          </cell>
          <cell r="V35">
            <v>1043280</v>
          </cell>
        </row>
        <row r="36">
          <cell r="D36">
            <v>4</v>
          </cell>
          <cell r="U36">
            <v>1840</v>
          </cell>
          <cell r="V36">
            <v>7360</v>
          </cell>
        </row>
        <row r="37">
          <cell r="D37">
            <v>221</v>
          </cell>
          <cell r="U37">
            <v>550</v>
          </cell>
          <cell r="V37">
            <v>121550</v>
          </cell>
        </row>
        <row r="39">
          <cell r="D39">
            <v>39</v>
          </cell>
          <cell r="U39">
            <v>1590</v>
          </cell>
          <cell r="V39">
            <v>62010</v>
          </cell>
        </row>
        <row r="40">
          <cell r="D40">
            <v>27</v>
          </cell>
          <cell r="U40">
            <v>1590</v>
          </cell>
          <cell r="V40">
            <v>42930</v>
          </cell>
        </row>
        <row r="41">
          <cell r="U41">
            <v>910</v>
          </cell>
          <cell r="V41">
            <v>0</v>
          </cell>
        </row>
        <row r="43">
          <cell r="D43">
            <v>2745</v>
          </cell>
          <cell r="U43">
            <v>700</v>
          </cell>
          <cell r="V43">
            <v>1921500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1240</v>
          </cell>
          <cell r="V47">
            <v>0</v>
          </cell>
        </row>
        <row r="48">
          <cell r="D48">
            <v>485</v>
          </cell>
          <cell r="U48">
            <v>600</v>
          </cell>
          <cell r="V48">
            <v>291000</v>
          </cell>
        </row>
        <row r="49">
          <cell r="D49">
            <v>740</v>
          </cell>
          <cell r="U49">
            <v>1840</v>
          </cell>
          <cell r="V49">
            <v>1361600</v>
          </cell>
        </row>
        <row r="50">
          <cell r="D50">
            <v>42</v>
          </cell>
          <cell r="U50">
            <v>13790</v>
          </cell>
          <cell r="V50">
            <v>579180</v>
          </cell>
        </row>
        <row r="51">
          <cell r="D51">
            <v>59</v>
          </cell>
          <cell r="U51">
            <v>31670</v>
          </cell>
          <cell r="V51">
            <v>1868530</v>
          </cell>
        </row>
        <row r="52">
          <cell r="D52">
            <v>18</v>
          </cell>
          <cell r="V52">
            <v>142200</v>
          </cell>
        </row>
        <row r="59">
          <cell r="D59">
            <v>5354</v>
          </cell>
          <cell r="U59">
            <v>30310</v>
          </cell>
          <cell r="V59">
            <v>162279740</v>
          </cell>
        </row>
        <row r="60">
          <cell r="U60">
            <v>27900</v>
          </cell>
          <cell r="V60">
            <v>0</v>
          </cell>
        </row>
        <row r="61">
          <cell r="U61">
            <v>23260</v>
          </cell>
          <cell r="V61">
            <v>0</v>
          </cell>
        </row>
        <row r="62">
          <cell r="U62">
            <v>126000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171</v>
          </cell>
          <cell r="U65">
            <v>60860</v>
          </cell>
          <cell r="V65">
            <v>10407060</v>
          </cell>
        </row>
        <row r="66">
          <cell r="D66">
            <v>96</v>
          </cell>
          <cell r="V66">
            <v>5842560</v>
          </cell>
        </row>
        <row r="67">
          <cell r="V67">
            <v>0</v>
          </cell>
        </row>
        <row r="68">
          <cell r="D68">
            <v>175</v>
          </cell>
          <cell r="U68">
            <v>54600</v>
          </cell>
          <cell r="V68">
            <v>9555000</v>
          </cell>
        </row>
        <row r="69">
          <cell r="U69">
            <v>15500</v>
          </cell>
          <cell r="V69">
            <v>0</v>
          </cell>
        </row>
        <row r="70">
          <cell r="U70">
            <v>24280</v>
          </cell>
          <cell r="V70">
            <v>0</v>
          </cell>
        </row>
        <row r="71">
          <cell r="U71">
            <v>25270</v>
          </cell>
          <cell r="V71">
            <v>0</v>
          </cell>
        </row>
        <row r="72">
          <cell r="U72">
            <v>10190</v>
          </cell>
          <cell r="V72">
            <v>0</v>
          </cell>
        </row>
        <row r="73">
          <cell r="U73">
            <v>24470</v>
          </cell>
          <cell r="V73">
            <v>0</v>
          </cell>
        </row>
        <row r="74">
          <cell r="U74">
            <v>10190</v>
          </cell>
          <cell r="V74">
            <v>0</v>
          </cell>
        </row>
        <row r="75">
          <cell r="D75">
            <v>8</v>
          </cell>
          <cell r="U75">
            <v>4490</v>
          </cell>
          <cell r="V75">
            <v>35920</v>
          </cell>
        </row>
        <row r="76">
          <cell r="U76">
            <v>30310</v>
          </cell>
          <cell r="V76">
            <v>0</v>
          </cell>
        </row>
        <row r="77">
          <cell r="U77">
            <v>81940</v>
          </cell>
          <cell r="V77">
            <v>0</v>
          </cell>
        </row>
        <row r="78">
          <cell r="U78">
            <v>9670</v>
          </cell>
          <cell r="V78">
            <v>0</v>
          </cell>
        </row>
        <row r="79">
          <cell r="D79">
            <v>58</v>
          </cell>
          <cell r="U79">
            <v>5880</v>
          </cell>
          <cell r="V79">
            <v>341040</v>
          </cell>
        </row>
        <row r="80">
          <cell r="U80">
            <v>42470</v>
          </cell>
          <cell r="V80">
            <v>0</v>
          </cell>
        </row>
        <row r="81">
          <cell r="U81">
            <v>7450</v>
          </cell>
          <cell r="V81">
            <v>0</v>
          </cell>
        </row>
        <row r="83">
          <cell r="V83">
            <v>16122800</v>
          </cell>
        </row>
        <row r="174">
          <cell r="V174">
            <v>21553940</v>
          </cell>
        </row>
        <row r="243">
          <cell r="V243">
            <v>3811040</v>
          </cell>
        </row>
        <row r="289">
          <cell r="V289">
            <v>0</v>
          </cell>
        </row>
        <row r="295">
          <cell r="V295">
            <v>4697190</v>
          </cell>
        </row>
        <row r="362">
          <cell r="V362">
            <v>7854230</v>
          </cell>
        </row>
        <row r="405">
          <cell r="V405">
            <v>222700</v>
          </cell>
        </row>
        <row r="428">
          <cell r="V428">
            <v>2802860</v>
          </cell>
        </row>
        <row r="446">
          <cell r="V446">
            <v>0</v>
          </cell>
        </row>
        <row r="456">
          <cell r="V456">
            <v>71410</v>
          </cell>
        </row>
        <row r="500">
          <cell r="V500">
            <v>2643200</v>
          </cell>
        </row>
        <row r="535">
          <cell r="V535">
            <v>22116250</v>
          </cell>
        </row>
        <row r="590">
          <cell r="V590">
            <v>57630</v>
          </cell>
        </row>
        <row r="615">
          <cell r="V615">
            <v>17335530</v>
          </cell>
        </row>
        <row r="633">
          <cell r="V633">
            <v>14479550</v>
          </cell>
        </row>
        <row r="634">
          <cell r="V634">
            <v>0</v>
          </cell>
        </row>
        <row r="654">
          <cell r="V654">
            <v>0</v>
          </cell>
        </row>
        <row r="670">
          <cell r="V670">
            <v>0</v>
          </cell>
        </row>
        <row r="697">
          <cell r="V697">
            <v>0</v>
          </cell>
        </row>
        <row r="716">
          <cell r="V716">
            <v>0</v>
          </cell>
        </row>
        <row r="723">
          <cell r="V723">
            <v>0</v>
          </cell>
        </row>
        <row r="726">
          <cell r="V726">
            <v>0</v>
          </cell>
        </row>
        <row r="743">
          <cell r="V743">
            <v>0</v>
          </cell>
        </row>
        <row r="760">
          <cell r="V760">
            <v>0</v>
          </cell>
        </row>
        <row r="764">
          <cell r="D764">
            <v>368</v>
          </cell>
          <cell r="V764">
            <v>2225930</v>
          </cell>
        </row>
        <row r="779">
          <cell r="V779">
            <v>0</v>
          </cell>
        </row>
        <row r="791">
          <cell r="D791">
            <v>130</v>
          </cell>
          <cell r="U791">
            <v>6330</v>
          </cell>
          <cell r="V791">
            <v>822900</v>
          </cell>
        </row>
        <row r="792">
          <cell r="U792">
            <v>2480</v>
          </cell>
          <cell r="V792">
            <v>0</v>
          </cell>
        </row>
        <row r="793">
          <cell r="D793">
            <v>657</v>
          </cell>
          <cell r="U793">
            <v>2480</v>
          </cell>
          <cell r="V793">
            <v>1629360</v>
          </cell>
        </row>
        <row r="794">
          <cell r="D794">
            <v>1</v>
          </cell>
          <cell r="U794">
            <v>9880</v>
          </cell>
          <cell r="V794">
            <v>9880</v>
          </cell>
        </row>
        <row r="795">
          <cell r="D795">
            <v>14</v>
          </cell>
          <cell r="U795">
            <v>11570</v>
          </cell>
          <cell r="V795">
            <v>161980</v>
          </cell>
        </row>
        <row r="796">
          <cell r="U796">
            <v>26240</v>
          </cell>
          <cell r="V796">
            <v>0</v>
          </cell>
        </row>
        <row r="797">
          <cell r="U797">
            <v>2882</v>
          </cell>
          <cell r="V797">
            <v>0</v>
          </cell>
        </row>
        <row r="798">
          <cell r="U798">
            <v>6766</v>
          </cell>
          <cell r="V798">
            <v>0</v>
          </cell>
        </row>
        <row r="801">
          <cell r="U801">
            <v>13080</v>
          </cell>
          <cell r="V801">
            <v>0</v>
          </cell>
        </row>
        <row r="802">
          <cell r="D802">
            <v>8</v>
          </cell>
          <cell r="U802">
            <v>10470</v>
          </cell>
          <cell r="V802">
            <v>83760</v>
          </cell>
        </row>
        <row r="803">
          <cell r="U803">
            <v>355150</v>
          </cell>
          <cell r="V803">
            <v>0</v>
          </cell>
        </row>
        <row r="807">
          <cell r="V807">
            <v>0</v>
          </cell>
        </row>
        <row r="878">
          <cell r="V878">
            <v>33134320</v>
          </cell>
        </row>
        <row r="957">
          <cell r="V957">
            <v>1121290</v>
          </cell>
        </row>
        <row r="1032">
          <cell r="U1032">
            <v>8370</v>
          </cell>
          <cell r="V1032">
            <v>0</v>
          </cell>
        </row>
        <row r="1033">
          <cell r="V1033">
            <v>843205</v>
          </cell>
        </row>
        <row r="1094">
          <cell r="V1094">
            <v>5153820</v>
          </cell>
        </row>
        <row r="1162">
          <cell r="V1162">
            <v>2396570</v>
          </cell>
        </row>
        <row r="1186">
          <cell r="D1186">
            <v>695</v>
          </cell>
          <cell r="U1186">
            <v>4480</v>
          </cell>
          <cell r="V1186">
            <v>3113600</v>
          </cell>
        </row>
        <row r="1187">
          <cell r="D1187">
            <v>13</v>
          </cell>
          <cell r="U1187">
            <v>12640</v>
          </cell>
          <cell r="V1187">
            <v>164320</v>
          </cell>
        </row>
        <row r="1188">
          <cell r="D1188">
            <v>14</v>
          </cell>
          <cell r="U1188">
            <v>21430</v>
          </cell>
          <cell r="V1188">
            <v>300020</v>
          </cell>
        </row>
        <row r="1189">
          <cell r="U1189">
            <v>40910</v>
          </cell>
          <cell r="V1189">
            <v>0</v>
          </cell>
        </row>
        <row r="1190">
          <cell r="D1190">
            <v>53</v>
          </cell>
          <cell r="U1190">
            <v>45600</v>
          </cell>
          <cell r="V1190">
            <v>2416800</v>
          </cell>
        </row>
        <row r="1191">
          <cell r="U1191">
            <v>25580</v>
          </cell>
          <cell r="V1191">
            <v>0</v>
          </cell>
        </row>
        <row r="1192">
          <cell r="U1192">
            <v>197910</v>
          </cell>
          <cell r="V1192">
            <v>0</v>
          </cell>
        </row>
        <row r="1193">
          <cell r="U1193">
            <v>224990</v>
          </cell>
          <cell r="V1193">
            <v>0</v>
          </cell>
        </row>
        <row r="1194">
          <cell r="U1194">
            <v>183470</v>
          </cell>
          <cell r="V1194">
            <v>0</v>
          </cell>
        </row>
        <row r="1195">
          <cell r="U1195">
            <v>235660</v>
          </cell>
          <cell r="V1195">
            <v>0</v>
          </cell>
        </row>
        <row r="1196">
          <cell r="U1196">
            <v>241140</v>
          </cell>
          <cell r="V1196">
            <v>0</v>
          </cell>
        </row>
        <row r="1197">
          <cell r="U1197">
            <v>203920</v>
          </cell>
          <cell r="V1197">
            <v>0</v>
          </cell>
        </row>
        <row r="1198">
          <cell r="U1198">
            <v>217670</v>
          </cell>
          <cell r="V1198">
            <v>0</v>
          </cell>
        </row>
        <row r="1199">
          <cell r="U1199">
            <v>260270</v>
          </cell>
          <cell r="V1199">
            <v>0</v>
          </cell>
        </row>
        <row r="1200">
          <cell r="U1200">
            <v>230810</v>
          </cell>
          <cell r="V1200">
            <v>0</v>
          </cell>
        </row>
        <row r="1201">
          <cell r="U1201">
            <v>1689070</v>
          </cell>
          <cell r="V1201">
            <v>0</v>
          </cell>
        </row>
        <row r="1202">
          <cell r="U1202">
            <v>1054990</v>
          </cell>
          <cell r="V1202">
            <v>0</v>
          </cell>
        </row>
        <row r="1203">
          <cell r="U1203">
            <v>1021110</v>
          </cell>
          <cell r="V1203">
            <v>0</v>
          </cell>
        </row>
        <row r="1204">
          <cell r="U1204">
            <v>1069740</v>
          </cell>
          <cell r="V1204">
            <v>0</v>
          </cell>
        </row>
        <row r="1205">
          <cell r="U1205">
            <v>151380</v>
          </cell>
          <cell r="V1205">
            <v>0</v>
          </cell>
        </row>
        <row r="1206">
          <cell r="U1206">
            <v>345440</v>
          </cell>
          <cell r="V1206">
            <v>0</v>
          </cell>
        </row>
        <row r="1207">
          <cell r="U1207">
            <v>128060</v>
          </cell>
          <cell r="V1207">
            <v>0</v>
          </cell>
        </row>
        <row r="1208">
          <cell r="U1208">
            <v>1037610</v>
          </cell>
          <cell r="V1208">
            <v>0</v>
          </cell>
        </row>
        <row r="1209">
          <cell r="U1209">
            <v>1037610</v>
          </cell>
          <cell r="V1209">
            <v>0</v>
          </cell>
        </row>
        <row r="1210">
          <cell r="V1210">
            <v>114660</v>
          </cell>
        </row>
        <row r="1276">
          <cell r="V1276">
            <v>96580</v>
          </cell>
        </row>
        <row r="1343">
          <cell r="D1343">
            <v>34</v>
          </cell>
          <cell r="U1343">
            <v>30950</v>
          </cell>
          <cell r="V1343">
            <v>1052300</v>
          </cell>
        </row>
        <row r="1344">
          <cell r="U1344">
            <v>37330</v>
          </cell>
          <cell r="V1344">
            <v>0</v>
          </cell>
        </row>
        <row r="1345">
          <cell r="D1345">
            <v>8</v>
          </cell>
          <cell r="U1345">
            <v>39760</v>
          </cell>
          <cell r="V1345">
            <v>318080</v>
          </cell>
        </row>
        <row r="1346">
          <cell r="V1346">
            <v>39445275</v>
          </cell>
        </row>
        <row r="1430">
          <cell r="V1430">
            <v>623910</v>
          </cell>
        </row>
        <row r="1470">
          <cell r="U1470">
            <v>38160</v>
          </cell>
          <cell r="V1470">
            <v>0</v>
          </cell>
        </row>
        <row r="1471">
          <cell r="U1471">
            <v>24000</v>
          </cell>
          <cell r="V1471">
            <v>0</v>
          </cell>
        </row>
        <row r="1472">
          <cell r="U1472">
            <v>24000</v>
          </cell>
          <cell r="V1472">
            <v>0</v>
          </cell>
        </row>
        <row r="1473">
          <cell r="U1473">
            <v>726900</v>
          </cell>
          <cell r="V1473">
            <v>0</v>
          </cell>
        </row>
        <row r="1474">
          <cell r="U1474">
            <v>515080</v>
          </cell>
          <cell r="V1474">
            <v>0</v>
          </cell>
        </row>
        <row r="1475">
          <cell r="U1475">
            <v>43850</v>
          </cell>
          <cell r="V1475">
            <v>0</v>
          </cell>
        </row>
        <row r="1476">
          <cell r="U1476">
            <v>591930</v>
          </cell>
          <cell r="V1476">
            <v>0</v>
          </cell>
        </row>
        <row r="1477">
          <cell r="V1477">
            <v>3290280</v>
          </cell>
        </row>
        <row r="1562">
          <cell r="V1562">
            <v>9832540</v>
          </cell>
        </row>
        <row r="1580">
          <cell r="V1580">
            <v>1242270</v>
          </cell>
        </row>
        <row r="1585">
          <cell r="V1585">
            <v>6657675</v>
          </cell>
        </row>
        <row r="1619">
          <cell r="V1619">
            <v>8452170</v>
          </cell>
        </row>
        <row r="1620">
          <cell r="D1620">
            <v>1</v>
          </cell>
          <cell r="V1620">
            <v>93150</v>
          </cell>
        </row>
        <row r="1621">
          <cell r="D1621">
            <v>22</v>
          </cell>
          <cell r="V1621">
            <v>1968120</v>
          </cell>
        </row>
        <row r="1622">
          <cell r="D1622">
            <v>54</v>
          </cell>
          <cell r="V1622">
            <v>6390900</v>
          </cell>
        </row>
        <row r="1623">
          <cell r="V1623">
            <v>0</v>
          </cell>
        </row>
        <row r="1624">
          <cell r="D1624">
            <v>67</v>
          </cell>
          <cell r="U1624">
            <v>118340</v>
          </cell>
          <cell r="V1624">
            <v>7928780</v>
          </cell>
        </row>
        <row r="1625">
          <cell r="D1625">
            <v>4</v>
          </cell>
          <cell r="U1625">
            <v>124520</v>
          </cell>
          <cell r="V1625">
            <v>498080</v>
          </cell>
        </row>
        <row r="1627">
          <cell r="V1627">
            <v>7112055</v>
          </cell>
        </row>
        <row r="1833">
          <cell r="D1833">
            <v>4</v>
          </cell>
          <cell r="F1833">
            <v>0</v>
          </cell>
          <cell r="G1833">
            <v>0</v>
          </cell>
          <cell r="V1833">
            <v>197960</v>
          </cell>
        </row>
        <row r="1837">
          <cell r="D1837">
            <v>18</v>
          </cell>
          <cell r="V1837">
            <v>1110090</v>
          </cell>
        </row>
        <row r="1849">
          <cell r="D1849">
            <v>34</v>
          </cell>
          <cell r="U1849">
            <v>25670</v>
          </cell>
          <cell r="V1849">
            <v>872780</v>
          </cell>
        </row>
        <row r="1851">
          <cell r="D1851">
            <v>267</v>
          </cell>
          <cell r="U1851">
            <v>16920</v>
          </cell>
          <cell r="V1851">
            <v>4517640</v>
          </cell>
        </row>
        <row r="1852">
          <cell r="D1852">
            <v>152</v>
          </cell>
          <cell r="U1852">
            <v>53200</v>
          </cell>
          <cell r="V1852">
            <v>8086400</v>
          </cell>
        </row>
        <row r="1853">
          <cell r="U1853">
            <v>65950</v>
          </cell>
          <cell r="V1853">
            <v>0</v>
          </cell>
        </row>
        <row r="1854">
          <cell r="D1854">
            <v>168</v>
          </cell>
          <cell r="U1854">
            <v>2320</v>
          </cell>
          <cell r="V1854">
            <v>389760</v>
          </cell>
        </row>
        <row r="1855">
          <cell r="U1855">
            <v>70</v>
          </cell>
          <cell r="V1855">
            <v>0</v>
          </cell>
        </row>
        <row r="1856">
          <cell r="U1856">
            <v>140030</v>
          </cell>
          <cell r="V1856">
            <v>0</v>
          </cell>
        </row>
        <row r="1857">
          <cell r="U1857">
            <v>9520</v>
          </cell>
          <cell r="V1857">
            <v>0</v>
          </cell>
        </row>
        <row r="1859">
          <cell r="V1859">
            <v>4560620</v>
          </cell>
        </row>
        <row r="1876">
          <cell r="V1876">
            <v>6860660</v>
          </cell>
        </row>
        <row r="1895">
          <cell r="V1895">
            <v>1843650</v>
          </cell>
        </row>
        <row r="1920">
          <cell r="D1920">
            <v>198</v>
          </cell>
          <cell r="U1920">
            <v>17720</v>
          </cell>
          <cell r="V1920">
            <v>3508560</v>
          </cell>
        </row>
        <row r="1921">
          <cell r="U1921">
            <v>222170</v>
          </cell>
          <cell r="V1921">
            <v>0</v>
          </cell>
        </row>
        <row r="1923">
          <cell r="U1923">
            <v>226920</v>
          </cell>
          <cell r="V1923">
            <v>0</v>
          </cell>
        </row>
        <row r="1924">
          <cell r="U1924">
            <v>32250</v>
          </cell>
          <cell r="V1924">
            <v>0</v>
          </cell>
        </row>
        <row r="1925">
          <cell r="U1925">
            <v>121620</v>
          </cell>
          <cell r="V1925">
            <v>0</v>
          </cell>
        </row>
        <row r="1926">
          <cell r="U1926">
            <v>121620</v>
          </cell>
          <cell r="V1926">
            <v>0</v>
          </cell>
        </row>
        <row r="1927">
          <cell r="U1927">
            <v>221430</v>
          </cell>
          <cell r="V1927">
            <v>0</v>
          </cell>
        </row>
        <row r="1928">
          <cell r="U1928">
            <v>339820</v>
          </cell>
          <cell r="V1928">
            <v>0</v>
          </cell>
        </row>
        <row r="1929">
          <cell r="U1929">
            <v>579700</v>
          </cell>
          <cell r="V1929">
            <v>0</v>
          </cell>
        </row>
        <row r="1930">
          <cell r="U1930">
            <v>120740</v>
          </cell>
          <cell r="V1930">
            <v>0</v>
          </cell>
        </row>
        <row r="1931">
          <cell r="U1931">
            <v>325420</v>
          </cell>
          <cell r="V1931">
            <v>0</v>
          </cell>
        </row>
        <row r="1932">
          <cell r="U1932">
            <v>137020</v>
          </cell>
          <cell r="V1932">
            <v>0</v>
          </cell>
        </row>
        <row r="1933">
          <cell r="U1933">
            <v>119070</v>
          </cell>
          <cell r="V1933">
            <v>0</v>
          </cell>
        </row>
        <row r="1934">
          <cell r="U1934">
            <v>181020</v>
          </cell>
          <cell r="V1934">
            <v>0</v>
          </cell>
        </row>
        <row r="1935">
          <cell r="U1935">
            <v>47640</v>
          </cell>
          <cell r="V1935">
            <v>0</v>
          </cell>
        </row>
        <row r="1936">
          <cell r="U1936">
            <v>35600</v>
          </cell>
          <cell r="V1936">
            <v>0</v>
          </cell>
        </row>
        <row r="1937">
          <cell r="U1937">
            <v>195210</v>
          </cell>
          <cell r="V1937">
            <v>0</v>
          </cell>
        </row>
        <row r="1938">
          <cell r="U1938">
            <v>1161300</v>
          </cell>
          <cell r="V1938">
            <v>0</v>
          </cell>
        </row>
        <row r="1939">
          <cell r="U1939">
            <v>175210</v>
          </cell>
          <cell r="V1939">
            <v>0</v>
          </cell>
        </row>
        <row r="1940">
          <cell r="U1940">
            <v>154940</v>
          </cell>
          <cell r="V1940">
            <v>0</v>
          </cell>
        </row>
        <row r="1941">
          <cell r="U1941">
            <v>314530</v>
          </cell>
          <cell r="V1941">
            <v>0</v>
          </cell>
        </row>
        <row r="1942">
          <cell r="U1942">
            <v>1045930</v>
          </cell>
          <cell r="V1942">
            <v>0</v>
          </cell>
        </row>
        <row r="1943">
          <cell r="U1943">
            <v>1074870</v>
          </cell>
          <cell r="V1943">
            <v>0</v>
          </cell>
        </row>
        <row r="1944">
          <cell r="U1944">
            <v>851060</v>
          </cell>
          <cell r="V1944">
            <v>0</v>
          </cell>
        </row>
        <row r="1945">
          <cell r="U1945">
            <v>896940</v>
          </cell>
          <cell r="V1945">
            <v>0</v>
          </cell>
        </row>
        <row r="1946">
          <cell r="U1946">
            <v>353830</v>
          </cell>
          <cell r="V1946">
            <v>0</v>
          </cell>
        </row>
        <row r="1947">
          <cell r="U1947">
            <v>84740</v>
          </cell>
          <cell r="V1947">
            <v>0</v>
          </cell>
        </row>
        <row r="1948">
          <cell r="U1948">
            <v>252810</v>
          </cell>
          <cell r="V1948">
            <v>0</v>
          </cell>
        </row>
        <row r="1949">
          <cell r="U1949">
            <v>71480</v>
          </cell>
          <cell r="V1949">
            <v>0</v>
          </cell>
        </row>
        <row r="1950">
          <cell r="U1950">
            <v>1228260</v>
          </cell>
          <cell r="V1950">
            <v>0</v>
          </cell>
        </row>
        <row r="1951">
          <cell r="U1951">
            <v>287200</v>
          </cell>
          <cell r="V1951">
            <v>0</v>
          </cell>
        </row>
        <row r="1952">
          <cell r="U1952">
            <v>962120</v>
          </cell>
          <cell r="V1952">
            <v>0</v>
          </cell>
        </row>
        <row r="1953">
          <cell r="U1953">
            <v>589010</v>
          </cell>
          <cell r="V1953">
            <v>0</v>
          </cell>
        </row>
        <row r="1954">
          <cell r="U1954">
            <v>480670</v>
          </cell>
          <cell r="V1954">
            <v>0</v>
          </cell>
        </row>
        <row r="1955">
          <cell r="U1955">
            <v>259110</v>
          </cell>
          <cell r="V1955">
            <v>0</v>
          </cell>
        </row>
        <row r="1956">
          <cell r="U1956">
            <v>151070</v>
          </cell>
          <cell r="V1956">
            <v>0</v>
          </cell>
        </row>
        <row r="1957">
          <cell r="U1957">
            <v>365020</v>
          </cell>
          <cell r="V1957">
            <v>0</v>
          </cell>
        </row>
        <row r="1958">
          <cell r="U1958">
            <v>378270</v>
          </cell>
          <cell r="V1958">
            <v>0</v>
          </cell>
        </row>
        <row r="1959">
          <cell r="U1959">
            <v>236360</v>
          </cell>
          <cell r="V1959">
            <v>0</v>
          </cell>
        </row>
        <row r="1960">
          <cell r="D1960">
            <v>85</v>
          </cell>
          <cell r="U1960">
            <v>32140</v>
          </cell>
          <cell r="V1960">
            <v>2731900</v>
          </cell>
        </row>
        <row r="1962">
          <cell r="D1962">
            <v>5</v>
          </cell>
          <cell r="U1962">
            <v>6320</v>
          </cell>
          <cell r="V1962">
            <v>31600</v>
          </cell>
        </row>
        <row r="1963">
          <cell r="U1963">
            <v>3370</v>
          </cell>
          <cell r="V1963">
            <v>0</v>
          </cell>
        </row>
        <row r="1964">
          <cell r="D1964">
            <v>2</v>
          </cell>
          <cell r="U1964">
            <v>12690</v>
          </cell>
          <cell r="V1964">
            <v>25380</v>
          </cell>
        </row>
        <row r="1965">
          <cell r="U1965">
            <v>130140</v>
          </cell>
          <cell r="V1965">
            <v>0</v>
          </cell>
        </row>
        <row r="1966">
          <cell r="U1966">
            <v>714770</v>
          </cell>
          <cell r="V196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2011</v>
          </cell>
        </row>
        <row r="11">
          <cell r="B11" t="str">
            <v xml:space="preserve">DR. RUBEN BRAVO CATILLO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 refreshError="1"/>
      <sheetData sheetId="2">
        <row r="12">
          <cell r="D12">
            <v>50260</v>
          </cell>
        </row>
        <row r="13">
          <cell r="D13">
            <v>20390</v>
          </cell>
        </row>
        <row r="14">
          <cell r="D14">
            <v>20394</v>
          </cell>
        </row>
        <row r="15">
          <cell r="D15">
            <v>1059</v>
          </cell>
        </row>
        <row r="16">
          <cell r="D16">
            <v>0</v>
          </cell>
        </row>
        <row r="17">
          <cell r="D17">
            <v>1233</v>
          </cell>
        </row>
        <row r="18">
          <cell r="D18">
            <v>4678</v>
          </cell>
        </row>
        <row r="19">
          <cell r="D19">
            <v>3886</v>
          </cell>
        </row>
        <row r="20">
          <cell r="D20">
            <v>94</v>
          </cell>
        </row>
        <row r="21">
          <cell r="D21">
            <v>698</v>
          </cell>
        </row>
        <row r="22">
          <cell r="D22">
            <v>0</v>
          </cell>
        </row>
        <row r="23">
          <cell r="D23">
            <v>81</v>
          </cell>
        </row>
        <row r="24">
          <cell r="D24">
            <v>2425</v>
          </cell>
        </row>
        <row r="25">
          <cell r="D25">
            <v>4130</v>
          </cell>
        </row>
        <row r="26">
          <cell r="D26">
            <v>2681</v>
          </cell>
        </row>
        <row r="27">
          <cell r="D27">
            <v>4</v>
          </cell>
        </row>
        <row r="28">
          <cell r="D28">
            <v>383</v>
          </cell>
        </row>
        <row r="30">
          <cell r="D30">
            <v>809</v>
          </cell>
        </row>
        <row r="31">
          <cell r="D31">
            <v>0</v>
          </cell>
        </row>
        <row r="32">
          <cell r="D32">
            <v>253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6">
          <cell r="F66">
            <v>0</v>
          </cell>
          <cell r="G66">
            <v>0</v>
          </cell>
          <cell r="H66">
            <v>0</v>
          </cell>
        </row>
        <row r="67">
          <cell r="F67">
            <v>75</v>
          </cell>
          <cell r="G67">
            <v>0</v>
          </cell>
          <cell r="H67">
            <v>0</v>
          </cell>
        </row>
        <row r="68">
          <cell r="F68">
            <v>17</v>
          </cell>
          <cell r="G68">
            <v>1</v>
          </cell>
          <cell r="H68">
            <v>0</v>
          </cell>
        </row>
        <row r="69">
          <cell r="F69">
            <v>3</v>
          </cell>
          <cell r="G69">
            <v>0</v>
          </cell>
          <cell r="H69">
            <v>0</v>
          </cell>
        </row>
        <row r="70">
          <cell r="F70">
            <v>77</v>
          </cell>
          <cell r="G70">
            <v>0</v>
          </cell>
          <cell r="H70">
            <v>0</v>
          </cell>
        </row>
        <row r="71">
          <cell r="F71">
            <v>118</v>
          </cell>
          <cell r="G71">
            <v>1</v>
          </cell>
          <cell r="H71">
            <v>0</v>
          </cell>
        </row>
        <row r="72">
          <cell r="F72">
            <v>3</v>
          </cell>
          <cell r="G72">
            <v>0</v>
          </cell>
          <cell r="H72">
            <v>0</v>
          </cell>
        </row>
        <row r="73">
          <cell r="F73">
            <v>3</v>
          </cell>
          <cell r="G73">
            <v>0</v>
          </cell>
          <cell r="H73">
            <v>0</v>
          </cell>
        </row>
        <row r="74">
          <cell r="F74">
            <v>176</v>
          </cell>
          <cell r="G74">
            <v>24</v>
          </cell>
          <cell r="H74">
            <v>0</v>
          </cell>
        </row>
        <row r="75">
          <cell r="F75">
            <v>8</v>
          </cell>
          <cell r="G75">
            <v>0</v>
          </cell>
          <cell r="H75">
            <v>0</v>
          </cell>
        </row>
        <row r="76">
          <cell r="F76">
            <v>24</v>
          </cell>
          <cell r="G76">
            <v>1</v>
          </cell>
          <cell r="H76">
            <v>0</v>
          </cell>
        </row>
        <row r="77">
          <cell r="F77">
            <v>3</v>
          </cell>
          <cell r="G77">
            <v>1</v>
          </cell>
          <cell r="H77">
            <v>0</v>
          </cell>
        </row>
        <row r="78">
          <cell r="F78">
            <v>33</v>
          </cell>
          <cell r="G78">
            <v>2</v>
          </cell>
          <cell r="H78">
            <v>0</v>
          </cell>
        </row>
        <row r="79">
          <cell r="F79">
            <v>69</v>
          </cell>
          <cell r="G79">
            <v>2</v>
          </cell>
          <cell r="H79">
            <v>0</v>
          </cell>
        </row>
        <row r="80">
          <cell r="F80">
            <v>49</v>
          </cell>
          <cell r="G80">
            <v>4</v>
          </cell>
          <cell r="H80">
            <v>0</v>
          </cell>
        </row>
        <row r="120">
          <cell r="E120">
            <v>1224</v>
          </cell>
        </row>
      </sheetData>
      <sheetData sheetId="3">
        <row r="13">
          <cell r="U13">
            <v>3830</v>
          </cell>
          <cell r="V13">
            <v>0</v>
          </cell>
        </row>
        <row r="14">
          <cell r="U14">
            <v>4820</v>
          </cell>
          <cell r="V14">
            <v>0</v>
          </cell>
        </row>
        <row r="15">
          <cell r="D15">
            <v>7869</v>
          </cell>
          <cell r="U15">
            <v>10320</v>
          </cell>
          <cell r="V15">
            <v>81208080</v>
          </cell>
        </row>
        <row r="16">
          <cell r="U16">
            <v>6170</v>
          </cell>
          <cell r="V16">
            <v>0</v>
          </cell>
        </row>
        <row r="17">
          <cell r="U17">
            <v>6770</v>
          </cell>
          <cell r="V17">
            <v>0</v>
          </cell>
        </row>
        <row r="18">
          <cell r="U18">
            <v>12950</v>
          </cell>
          <cell r="V18">
            <v>0</v>
          </cell>
        </row>
        <row r="19">
          <cell r="D19">
            <v>71</v>
          </cell>
          <cell r="U19">
            <v>12950</v>
          </cell>
          <cell r="V19">
            <v>919450</v>
          </cell>
        </row>
        <row r="20">
          <cell r="U20">
            <v>5210</v>
          </cell>
          <cell r="V20">
            <v>0</v>
          </cell>
        </row>
        <row r="21">
          <cell r="U21">
            <v>6250</v>
          </cell>
          <cell r="V21">
            <v>0</v>
          </cell>
        </row>
        <row r="22">
          <cell r="U22">
            <v>7760</v>
          </cell>
          <cell r="V22">
            <v>0</v>
          </cell>
        </row>
        <row r="23">
          <cell r="D23">
            <v>1541</v>
          </cell>
          <cell r="U23">
            <v>5210</v>
          </cell>
          <cell r="V23">
            <v>8028610</v>
          </cell>
        </row>
        <row r="24">
          <cell r="D24">
            <v>744</v>
          </cell>
          <cell r="U24">
            <v>6250</v>
          </cell>
          <cell r="V24">
            <v>4650000</v>
          </cell>
        </row>
        <row r="25">
          <cell r="D25">
            <v>2081</v>
          </cell>
          <cell r="U25">
            <v>7760</v>
          </cell>
          <cell r="V25">
            <v>16148560</v>
          </cell>
        </row>
        <row r="27">
          <cell r="D27">
            <v>1637</v>
          </cell>
          <cell r="U27">
            <v>1020</v>
          </cell>
          <cell r="V27">
            <v>1669740</v>
          </cell>
        </row>
        <row r="28">
          <cell r="U28">
            <v>1740</v>
          </cell>
          <cell r="V28">
            <v>0</v>
          </cell>
        </row>
        <row r="29">
          <cell r="U29">
            <v>550</v>
          </cell>
          <cell r="V29">
            <v>0</v>
          </cell>
        </row>
        <row r="30">
          <cell r="D30">
            <v>26</v>
          </cell>
          <cell r="U30">
            <v>1380</v>
          </cell>
          <cell r="V30">
            <v>35880</v>
          </cell>
        </row>
        <row r="31">
          <cell r="D31">
            <v>1294</v>
          </cell>
          <cell r="U31">
            <v>1110</v>
          </cell>
          <cell r="V31">
            <v>1436340</v>
          </cell>
        </row>
        <row r="32">
          <cell r="U32">
            <v>1020</v>
          </cell>
          <cell r="V32">
            <v>0</v>
          </cell>
        </row>
        <row r="34">
          <cell r="U34">
            <v>3340</v>
          </cell>
          <cell r="V34">
            <v>0</v>
          </cell>
        </row>
        <row r="35">
          <cell r="D35">
            <v>952</v>
          </cell>
          <cell r="U35">
            <v>1840</v>
          </cell>
          <cell r="V35">
            <v>1751680</v>
          </cell>
        </row>
        <row r="36">
          <cell r="D36">
            <v>3</v>
          </cell>
          <cell r="U36">
            <v>1840</v>
          </cell>
          <cell r="V36">
            <v>5520</v>
          </cell>
        </row>
        <row r="37">
          <cell r="D37">
            <v>460</v>
          </cell>
          <cell r="U37">
            <v>550</v>
          </cell>
          <cell r="V37">
            <v>253000</v>
          </cell>
        </row>
        <row r="39">
          <cell r="D39">
            <v>11</v>
          </cell>
          <cell r="U39">
            <v>1590</v>
          </cell>
          <cell r="V39">
            <v>17490</v>
          </cell>
        </row>
        <row r="40">
          <cell r="D40">
            <v>17</v>
          </cell>
          <cell r="U40">
            <v>1590</v>
          </cell>
          <cell r="V40">
            <v>27030</v>
          </cell>
        </row>
        <row r="41">
          <cell r="U41">
            <v>910</v>
          </cell>
          <cell r="V41">
            <v>0</v>
          </cell>
        </row>
        <row r="43">
          <cell r="D43">
            <v>2831</v>
          </cell>
          <cell r="U43">
            <v>700</v>
          </cell>
          <cell r="V43">
            <v>1981700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1240</v>
          </cell>
          <cell r="V47">
            <v>0</v>
          </cell>
        </row>
        <row r="48">
          <cell r="D48">
            <v>486</v>
          </cell>
          <cell r="U48">
            <v>600</v>
          </cell>
          <cell r="V48">
            <v>291600</v>
          </cell>
        </row>
        <row r="49">
          <cell r="D49">
            <v>1016</v>
          </cell>
          <cell r="U49">
            <v>1840</v>
          </cell>
          <cell r="V49">
            <v>1869440</v>
          </cell>
        </row>
        <row r="50">
          <cell r="D50">
            <v>42</v>
          </cell>
          <cell r="U50">
            <v>13790</v>
          </cell>
          <cell r="V50">
            <v>579180</v>
          </cell>
        </row>
        <row r="51">
          <cell r="D51">
            <v>56</v>
          </cell>
          <cell r="U51">
            <v>31670</v>
          </cell>
          <cell r="V51">
            <v>1773520</v>
          </cell>
        </row>
        <row r="52">
          <cell r="D52">
            <v>12</v>
          </cell>
          <cell r="V52">
            <v>94800</v>
          </cell>
        </row>
        <row r="59">
          <cell r="D59">
            <v>5364</v>
          </cell>
          <cell r="U59">
            <v>30310</v>
          </cell>
          <cell r="V59">
            <v>162582840</v>
          </cell>
        </row>
        <row r="60">
          <cell r="U60">
            <v>27900</v>
          </cell>
          <cell r="V60">
            <v>0</v>
          </cell>
        </row>
        <row r="61">
          <cell r="U61">
            <v>23260</v>
          </cell>
          <cell r="V61">
            <v>0</v>
          </cell>
        </row>
        <row r="62">
          <cell r="U62">
            <v>126000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264</v>
          </cell>
          <cell r="U65">
            <v>60860</v>
          </cell>
          <cell r="V65">
            <v>16067040</v>
          </cell>
        </row>
        <row r="66">
          <cell r="D66">
            <v>212</v>
          </cell>
          <cell r="V66">
            <v>12902320</v>
          </cell>
        </row>
        <row r="67">
          <cell r="V67">
            <v>0</v>
          </cell>
        </row>
        <row r="68">
          <cell r="D68">
            <v>137</v>
          </cell>
          <cell r="U68">
            <v>54600</v>
          </cell>
          <cell r="V68">
            <v>7480200</v>
          </cell>
        </row>
        <row r="69">
          <cell r="U69">
            <v>15500</v>
          </cell>
          <cell r="V69">
            <v>0</v>
          </cell>
        </row>
        <row r="70">
          <cell r="U70">
            <v>24280</v>
          </cell>
          <cell r="V70">
            <v>0</v>
          </cell>
        </row>
        <row r="71">
          <cell r="U71">
            <v>25270</v>
          </cell>
          <cell r="V71">
            <v>0</v>
          </cell>
        </row>
        <row r="72">
          <cell r="U72">
            <v>10190</v>
          </cell>
          <cell r="V72">
            <v>0</v>
          </cell>
        </row>
        <row r="73">
          <cell r="U73">
            <v>24470</v>
          </cell>
          <cell r="V73">
            <v>0</v>
          </cell>
        </row>
        <row r="74">
          <cell r="U74">
            <v>10190</v>
          </cell>
          <cell r="V74">
            <v>0</v>
          </cell>
        </row>
        <row r="75">
          <cell r="D75">
            <v>4</v>
          </cell>
          <cell r="U75">
            <v>4490</v>
          </cell>
          <cell r="V75">
            <v>17960</v>
          </cell>
        </row>
        <row r="76">
          <cell r="U76">
            <v>30310</v>
          </cell>
          <cell r="V76">
            <v>0</v>
          </cell>
        </row>
        <row r="77">
          <cell r="U77">
            <v>81940</v>
          </cell>
          <cell r="V77">
            <v>0</v>
          </cell>
        </row>
        <row r="78">
          <cell r="U78">
            <v>9670</v>
          </cell>
          <cell r="V78">
            <v>0</v>
          </cell>
        </row>
        <row r="79">
          <cell r="D79">
            <v>43</v>
          </cell>
          <cell r="U79">
            <v>5880</v>
          </cell>
          <cell r="V79">
            <v>252840</v>
          </cell>
        </row>
        <row r="80">
          <cell r="U80">
            <v>42470</v>
          </cell>
          <cell r="V80">
            <v>0</v>
          </cell>
        </row>
        <row r="81">
          <cell r="U81">
            <v>7450</v>
          </cell>
          <cell r="V81">
            <v>0</v>
          </cell>
        </row>
        <row r="83">
          <cell r="V83">
            <v>20354520</v>
          </cell>
        </row>
        <row r="174">
          <cell r="V174">
            <v>21992290</v>
          </cell>
        </row>
        <row r="243">
          <cell r="V243">
            <v>3372690</v>
          </cell>
        </row>
        <row r="289">
          <cell r="V289">
            <v>0</v>
          </cell>
        </row>
        <row r="295">
          <cell r="V295">
            <v>5247120</v>
          </cell>
        </row>
        <row r="362">
          <cell r="V362">
            <v>8350850</v>
          </cell>
        </row>
        <row r="405">
          <cell r="V405">
            <v>226010</v>
          </cell>
        </row>
        <row r="428">
          <cell r="V428">
            <v>2610170</v>
          </cell>
        </row>
        <row r="446">
          <cell r="V446">
            <v>0</v>
          </cell>
        </row>
        <row r="456">
          <cell r="V456">
            <v>161270</v>
          </cell>
        </row>
        <row r="500">
          <cell r="V500">
            <v>2654110</v>
          </cell>
        </row>
        <row r="535">
          <cell r="V535">
            <v>19463770</v>
          </cell>
        </row>
        <row r="590">
          <cell r="V590">
            <v>72520</v>
          </cell>
        </row>
        <row r="615">
          <cell r="V615">
            <v>18096930</v>
          </cell>
        </row>
        <row r="633">
          <cell r="V633">
            <v>14914610</v>
          </cell>
        </row>
        <row r="634">
          <cell r="V634">
            <v>0</v>
          </cell>
        </row>
        <row r="654">
          <cell r="V654">
            <v>0</v>
          </cell>
        </row>
        <row r="670">
          <cell r="V670">
            <v>0</v>
          </cell>
        </row>
        <row r="697">
          <cell r="V697">
            <v>0</v>
          </cell>
        </row>
        <row r="716">
          <cell r="V716">
            <v>0</v>
          </cell>
        </row>
        <row r="723">
          <cell r="V723">
            <v>0</v>
          </cell>
        </row>
        <row r="726">
          <cell r="V726">
            <v>0</v>
          </cell>
        </row>
        <row r="743">
          <cell r="V743">
            <v>0</v>
          </cell>
        </row>
        <row r="760">
          <cell r="V760">
            <v>0</v>
          </cell>
        </row>
        <row r="764">
          <cell r="D764">
            <v>363</v>
          </cell>
          <cell r="V764">
            <v>2238970</v>
          </cell>
        </row>
        <row r="779">
          <cell r="V779">
            <v>0</v>
          </cell>
        </row>
        <row r="791">
          <cell r="D791">
            <v>175</v>
          </cell>
          <cell r="U791">
            <v>6330</v>
          </cell>
          <cell r="V791">
            <v>1107750</v>
          </cell>
        </row>
        <row r="792">
          <cell r="U792">
            <v>2480</v>
          </cell>
          <cell r="V792">
            <v>0</v>
          </cell>
        </row>
        <row r="793">
          <cell r="D793">
            <v>600</v>
          </cell>
          <cell r="U793">
            <v>2480</v>
          </cell>
          <cell r="V793">
            <v>1488000</v>
          </cell>
        </row>
        <row r="794">
          <cell r="D794">
            <v>3</v>
          </cell>
          <cell r="U794">
            <v>9880</v>
          </cell>
          <cell r="V794">
            <v>29640</v>
          </cell>
        </row>
        <row r="795">
          <cell r="D795">
            <v>19</v>
          </cell>
          <cell r="U795">
            <v>11570</v>
          </cell>
          <cell r="V795">
            <v>219830</v>
          </cell>
        </row>
        <row r="796">
          <cell r="U796">
            <v>26240</v>
          </cell>
          <cell r="V796">
            <v>0</v>
          </cell>
        </row>
        <row r="797">
          <cell r="U797">
            <v>2882</v>
          </cell>
          <cell r="V797">
            <v>0</v>
          </cell>
        </row>
        <row r="798">
          <cell r="U798">
            <v>6766</v>
          </cell>
          <cell r="V798">
            <v>0</v>
          </cell>
        </row>
        <row r="801">
          <cell r="U801">
            <v>13080</v>
          </cell>
          <cell r="V801">
            <v>0</v>
          </cell>
        </row>
        <row r="802">
          <cell r="D802">
            <v>17</v>
          </cell>
          <cell r="U802">
            <v>10470</v>
          </cell>
          <cell r="V802">
            <v>177990</v>
          </cell>
        </row>
        <row r="803">
          <cell r="U803">
            <v>355150</v>
          </cell>
          <cell r="V803">
            <v>0</v>
          </cell>
        </row>
        <row r="807">
          <cell r="V807">
            <v>0</v>
          </cell>
        </row>
        <row r="878">
          <cell r="V878">
            <v>22377840</v>
          </cell>
        </row>
        <row r="957">
          <cell r="V957">
            <v>1075790</v>
          </cell>
        </row>
        <row r="1032">
          <cell r="D1032">
            <v>1</v>
          </cell>
          <cell r="U1032">
            <v>8370</v>
          </cell>
          <cell r="V1032">
            <v>8370</v>
          </cell>
        </row>
        <row r="1033">
          <cell r="V1033">
            <v>261750</v>
          </cell>
        </row>
        <row r="1094">
          <cell r="V1094">
            <v>4611780</v>
          </cell>
        </row>
        <row r="1162">
          <cell r="V1162">
            <v>3035705</v>
          </cell>
        </row>
        <row r="1186">
          <cell r="D1186">
            <v>777</v>
          </cell>
          <cell r="U1186">
            <v>4480</v>
          </cell>
          <cell r="V1186">
            <v>3480960</v>
          </cell>
        </row>
        <row r="1187">
          <cell r="D1187">
            <v>16</v>
          </cell>
          <cell r="U1187">
            <v>12640</v>
          </cell>
          <cell r="V1187">
            <v>202240</v>
          </cell>
        </row>
        <row r="1188">
          <cell r="D1188">
            <v>21</v>
          </cell>
          <cell r="U1188">
            <v>21430</v>
          </cell>
          <cell r="V1188">
            <v>450030</v>
          </cell>
        </row>
        <row r="1189">
          <cell r="U1189">
            <v>40910</v>
          </cell>
          <cell r="V1189">
            <v>0</v>
          </cell>
        </row>
        <row r="1190">
          <cell r="D1190">
            <v>58</v>
          </cell>
          <cell r="U1190">
            <v>45600</v>
          </cell>
          <cell r="V1190">
            <v>2644800</v>
          </cell>
        </row>
        <row r="1191">
          <cell r="U1191">
            <v>25580</v>
          </cell>
          <cell r="V1191">
            <v>0</v>
          </cell>
        </row>
        <row r="1192">
          <cell r="U1192">
            <v>197910</v>
          </cell>
          <cell r="V1192">
            <v>0</v>
          </cell>
        </row>
        <row r="1193">
          <cell r="U1193">
            <v>224990</v>
          </cell>
          <cell r="V1193">
            <v>0</v>
          </cell>
        </row>
        <row r="1194">
          <cell r="U1194">
            <v>183470</v>
          </cell>
          <cell r="V1194">
            <v>0</v>
          </cell>
        </row>
        <row r="1195">
          <cell r="U1195">
            <v>235660</v>
          </cell>
          <cell r="V1195">
            <v>0</v>
          </cell>
        </row>
        <row r="1196">
          <cell r="U1196">
            <v>241140</v>
          </cell>
          <cell r="V1196">
            <v>0</v>
          </cell>
        </row>
        <row r="1197">
          <cell r="U1197">
            <v>203920</v>
          </cell>
          <cell r="V1197">
            <v>0</v>
          </cell>
        </row>
        <row r="1198">
          <cell r="U1198">
            <v>217670</v>
          </cell>
          <cell r="V1198">
            <v>0</v>
          </cell>
        </row>
        <row r="1199">
          <cell r="U1199">
            <v>260270</v>
          </cell>
          <cell r="V1199">
            <v>0</v>
          </cell>
        </row>
        <row r="1200">
          <cell r="U1200">
            <v>230810</v>
          </cell>
          <cell r="V1200">
            <v>0</v>
          </cell>
        </row>
        <row r="1201">
          <cell r="U1201">
            <v>1689070</v>
          </cell>
          <cell r="V1201">
            <v>0</v>
          </cell>
        </row>
        <row r="1202">
          <cell r="U1202">
            <v>1054990</v>
          </cell>
          <cell r="V1202">
            <v>0</v>
          </cell>
        </row>
        <row r="1203">
          <cell r="U1203">
            <v>1021110</v>
          </cell>
          <cell r="V1203">
            <v>0</v>
          </cell>
        </row>
        <row r="1204">
          <cell r="U1204">
            <v>1069740</v>
          </cell>
          <cell r="V1204">
            <v>0</v>
          </cell>
        </row>
        <row r="1205">
          <cell r="U1205">
            <v>151380</v>
          </cell>
          <cell r="V1205">
            <v>0</v>
          </cell>
        </row>
        <row r="1206">
          <cell r="U1206">
            <v>345440</v>
          </cell>
          <cell r="V1206">
            <v>0</v>
          </cell>
        </row>
        <row r="1207">
          <cell r="U1207">
            <v>128060</v>
          </cell>
          <cell r="V1207">
            <v>0</v>
          </cell>
        </row>
        <row r="1208">
          <cell r="U1208">
            <v>1037610</v>
          </cell>
          <cell r="V1208">
            <v>0</v>
          </cell>
        </row>
        <row r="1209">
          <cell r="U1209">
            <v>1037610</v>
          </cell>
          <cell r="V1209">
            <v>0</v>
          </cell>
        </row>
        <row r="1210">
          <cell r="V1210">
            <v>568260</v>
          </cell>
        </row>
        <row r="1276">
          <cell r="V1276">
            <v>144870</v>
          </cell>
        </row>
        <row r="1343">
          <cell r="D1343">
            <v>27</v>
          </cell>
          <cell r="U1343">
            <v>30950</v>
          </cell>
          <cell r="V1343">
            <v>835650</v>
          </cell>
        </row>
        <row r="1344">
          <cell r="U1344">
            <v>37330</v>
          </cell>
          <cell r="V1344">
            <v>0</v>
          </cell>
        </row>
        <row r="1345">
          <cell r="D1345">
            <v>6</v>
          </cell>
          <cell r="U1345">
            <v>39760</v>
          </cell>
          <cell r="V1345">
            <v>238560</v>
          </cell>
        </row>
        <row r="1346">
          <cell r="V1346">
            <v>42868690</v>
          </cell>
        </row>
        <row r="1430">
          <cell r="V1430">
            <v>831320</v>
          </cell>
        </row>
        <row r="1470">
          <cell r="U1470">
            <v>38160</v>
          </cell>
          <cell r="V1470">
            <v>0</v>
          </cell>
        </row>
        <row r="1471">
          <cell r="U1471">
            <v>24000</v>
          </cell>
          <cell r="V1471">
            <v>0</v>
          </cell>
        </row>
        <row r="1472">
          <cell r="U1472">
            <v>24000</v>
          </cell>
          <cell r="V1472">
            <v>0</v>
          </cell>
        </row>
        <row r="1473">
          <cell r="U1473">
            <v>726900</v>
          </cell>
          <cell r="V1473">
            <v>0</v>
          </cell>
        </row>
        <row r="1474">
          <cell r="U1474">
            <v>515080</v>
          </cell>
          <cell r="V1474">
            <v>0</v>
          </cell>
        </row>
        <row r="1475">
          <cell r="U1475">
            <v>43850</v>
          </cell>
          <cell r="V1475">
            <v>0</v>
          </cell>
        </row>
        <row r="1476">
          <cell r="U1476">
            <v>591930</v>
          </cell>
          <cell r="V1476">
            <v>0</v>
          </cell>
        </row>
        <row r="1477">
          <cell r="V1477">
            <v>5209905</v>
          </cell>
        </row>
        <row r="1562">
          <cell r="V1562">
            <v>10178510</v>
          </cell>
        </row>
        <row r="1580">
          <cell r="V1580">
            <v>582280</v>
          </cell>
        </row>
        <row r="1585">
          <cell r="V1585">
            <v>6376360</v>
          </cell>
        </row>
        <row r="1619">
          <cell r="V1619">
            <v>7620030</v>
          </cell>
        </row>
        <row r="1620">
          <cell r="V1620">
            <v>0</v>
          </cell>
        </row>
        <row r="1621">
          <cell r="D1621">
            <v>22</v>
          </cell>
          <cell r="F1621">
            <v>2</v>
          </cell>
          <cell r="V1621">
            <v>2057580</v>
          </cell>
        </row>
        <row r="1622">
          <cell r="D1622">
            <v>47</v>
          </cell>
          <cell r="V1622">
            <v>5562450</v>
          </cell>
        </row>
        <row r="1623">
          <cell r="V1623">
            <v>0</v>
          </cell>
        </row>
        <row r="1624">
          <cell r="D1624">
            <v>99</v>
          </cell>
          <cell r="U1624">
            <v>118340</v>
          </cell>
          <cell r="V1624">
            <v>11715660</v>
          </cell>
        </row>
        <row r="1625">
          <cell r="D1625">
            <v>3</v>
          </cell>
          <cell r="U1625">
            <v>124520</v>
          </cell>
          <cell r="V1625">
            <v>373560</v>
          </cell>
        </row>
        <row r="1627">
          <cell r="V1627">
            <v>8290040</v>
          </cell>
        </row>
        <row r="1833">
          <cell r="D1833">
            <v>1</v>
          </cell>
          <cell r="F1833">
            <v>1</v>
          </cell>
          <cell r="G1833">
            <v>0</v>
          </cell>
          <cell r="V1833">
            <v>74235</v>
          </cell>
        </row>
        <row r="1837">
          <cell r="D1837">
            <v>47</v>
          </cell>
          <cell r="V1837">
            <v>2778260</v>
          </cell>
        </row>
        <row r="1849">
          <cell r="D1849">
            <v>59</v>
          </cell>
          <cell r="U1849">
            <v>25670</v>
          </cell>
          <cell r="V1849">
            <v>1514530</v>
          </cell>
        </row>
        <row r="1851">
          <cell r="D1851">
            <v>254</v>
          </cell>
          <cell r="U1851">
            <v>16920</v>
          </cell>
          <cell r="V1851">
            <v>4297680</v>
          </cell>
        </row>
        <row r="1852">
          <cell r="D1852">
            <v>134</v>
          </cell>
          <cell r="U1852">
            <v>53200</v>
          </cell>
          <cell r="V1852">
            <v>7128800</v>
          </cell>
        </row>
        <row r="1853">
          <cell r="U1853">
            <v>65950</v>
          </cell>
          <cell r="V1853">
            <v>0</v>
          </cell>
        </row>
        <row r="1854">
          <cell r="D1854">
            <v>152</v>
          </cell>
          <cell r="U1854">
            <v>2320</v>
          </cell>
          <cell r="V1854">
            <v>352640</v>
          </cell>
        </row>
        <row r="1855">
          <cell r="U1855">
            <v>70</v>
          </cell>
          <cell r="V1855">
            <v>0</v>
          </cell>
        </row>
        <row r="1856">
          <cell r="U1856">
            <v>140030</v>
          </cell>
          <cell r="V1856">
            <v>0</v>
          </cell>
        </row>
        <row r="1857">
          <cell r="U1857">
            <v>9520</v>
          </cell>
          <cell r="V1857">
            <v>0</v>
          </cell>
        </row>
        <row r="1859">
          <cell r="V1859">
            <v>5212610</v>
          </cell>
        </row>
        <row r="1876">
          <cell r="V1876">
            <v>6309390</v>
          </cell>
        </row>
        <row r="1895">
          <cell r="V1895">
            <v>1624650</v>
          </cell>
        </row>
        <row r="1920">
          <cell r="D1920">
            <v>337</v>
          </cell>
          <cell r="U1920">
            <v>17720</v>
          </cell>
          <cell r="V1920">
            <v>5971640</v>
          </cell>
        </row>
        <row r="1921">
          <cell r="U1921">
            <v>222170</v>
          </cell>
          <cell r="V1921">
            <v>0</v>
          </cell>
        </row>
        <row r="1923">
          <cell r="U1923">
            <v>226920</v>
          </cell>
          <cell r="V1923">
            <v>0</v>
          </cell>
        </row>
        <row r="1924">
          <cell r="U1924">
            <v>32250</v>
          </cell>
          <cell r="V1924">
            <v>0</v>
          </cell>
        </row>
        <row r="1925">
          <cell r="U1925">
            <v>121620</v>
          </cell>
          <cell r="V1925">
            <v>0</v>
          </cell>
        </row>
        <row r="1926">
          <cell r="U1926">
            <v>121620</v>
          </cell>
          <cell r="V1926">
            <v>0</v>
          </cell>
        </row>
        <row r="1927">
          <cell r="U1927">
            <v>221430</v>
          </cell>
          <cell r="V1927">
            <v>0</v>
          </cell>
        </row>
        <row r="1928">
          <cell r="U1928">
            <v>339820</v>
          </cell>
          <cell r="V1928">
            <v>0</v>
          </cell>
        </row>
        <row r="1929">
          <cell r="U1929">
            <v>579700</v>
          </cell>
          <cell r="V1929">
            <v>0</v>
          </cell>
        </row>
        <row r="1930">
          <cell r="U1930">
            <v>120740</v>
          </cell>
          <cell r="V1930">
            <v>0</v>
          </cell>
        </row>
        <row r="1931">
          <cell r="U1931">
            <v>325420</v>
          </cell>
          <cell r="V1931">
            <v>0</v>
          </cell>
        </row>
        <row r="1932">
          <cell r="U1932">
            <v>137020</v>
          </cell>
          <cell r="V1932">
            <v>0</v>
          </cell>
        </row>
        <row r="1933">
          <cell r="U1933">
            <v>119070</v>
          </cell>
          <cell r="V1933">
            <v>0</v>
          </cell>
        </row>
        <row r="1934">
          <cell r="U1934">
            <v>181020</v>
          </cell>
          <cell r="V1934">
            <v>0</v>
          </cell>
        </row>
        <row r="1935">
          <cell r="U1935">
            <v>47640</v>
          </cell>
          <cell r="V1935">
            <v>0</v>
          </cell>
        </row>
        <row r="1936">
          <cell r="U1936">
            <v>35600</v>
          </cell>
          <cell r="V1936">
            <v>0</v>
          </cell>
        </row>
        <row r="1937">
          <cell r="U1937">
            <v>195210</v>
          </cell>
          <cell r="V1937">
            <v>0</v>
          </cell>
        </row>
        <row r="1938">
          <cell r="U1938">
            <v>1161300</v>
          </cell>
          <cell r="V1938">
            <v>0</v>
          </cell>
        </row>
        <row r="1939">
          <cell r="U1939">
            <v>175210</v>
          </cell>
          <cell r="V1939">
            <v>0</v>
          </cell>
        </row>
        <row r="1940">
          <cell r="U1940">
            <v>154940</v>
          </cell>
          <cell r="V1940">
            <v>0</v>
          </cell>
        </row>
        <row r="1941">
          <cell r="U1941">
            <v>314530</v>
          </cell>
          <cell r="V1941">
            <v>0</v>
          </cell>
        </row>
        <row r="1942">
          <cell r="U1942">
            <v>1045930</v>
          </cell>
          <cell r="V1942">
            <v>0</v>
          </cell>
        </row>
        <row r="1943">
          <cell r="U1943">
            <v>1074870</v>
          </cell>
          <cell r="V1943">
            <v>0</v>
          </cell>
        </row>
        <row r="1944">
          <cell r="U1944">
            <v>851060</v>
          </cell>
          <cell r="V1944">
            <v>0</v>
          </cell>
        </row>
        <row r="1945">
          <cell r="U1945">
            <v>896940</v>
          </cell>
          <cell r="V1945">
            <v>0</v>
          </cell>
        </row>
        <row r="1946">
          <cell r="U1946">
            <v>353830</v>
          </cell>
          <cell r="V1946">
            <v>0</v>
          </cell>
        </row>
        <row r="1947">
          <cell r="U1947">
            <v>84740</v>
          </cell>
          <cell r="V1947">
            <v>0</v>
          </cell>
        </row>
        <row r="1948">
          <cell r="U1948">
            <v>252810</v>
          </cell>
          <cell r="V1948">
            <v>0</v>
          </cell>
        </row>
        <row r="1949">
          <cell r="U1949">
            <v>71480</v>
          </cell>
          <cell r="V1949">
            <v>0</v>
          </cell>
        </row>
        <row r="1950">
          <cell r="U1950">
            <v>1228260</v>
          </cell>
          <cell r="V1950">
            <v>0</v>
          </cell>
        </row>
        <row r="1951">
          <cell r="U1951">
            <v>287200</v>
          </cell>
          <cell r="V1951">
            <v>0</v>
          </cell>
        </row>
        <row r="1952">
          <cell r="U1952">
            <v>962120</v>
          </cell>
          <cell r="V1952">
            <v>0</v>
          </cell>
        </row>
        <row r="1953">
          <cell r="U1953">
            <v>589010</v>
          </cell>
          <cell r="V1953">
            <v>0</v>
          </cell>
        </row>
        <row r="1954">
          <cell r="U1954">
            <v>480670</v>
          </cell>
          <cell r="V1954">
            <v>0</v>
          </cell>
        </row>
        <row r="1955">
          <cell r="U1955">
            <v>259110</v>
          </cell>
          <cell r="V1955">
            <v>0</v>
          </cell>
        </row>
        <row r="1956">
          <cell r="U1956">
            <v>151070</v>
          </cell>
          <cell r="V1956">
            <v>0</v>
          </cell>
        </row>
        <row r="1957">
          <cell r="U1957">
            <v>365020</v>
          </cell>
          <cell r="V1957">
            <v>0</v>
          </cell>
        </row>
        <row r="1958">
          <cell r="U1958">
            <v>378270</v>
          </cell>
          <cell r="V1958">
            <v>0</v>
          </cell>
        </row>
        <row r="1959">
          <cell r="U1959">
            <v>236360</v>
          </cell>
          <cell r="V1959">
            <v>0</v>
          </cell>
        </row>
        <row r="1960">
          <cell r="D1960">
            <v>98</v>
          </cell>
          <cell r="U1960">
            <v>32140</v>
          </cell>
          <cell r="V1960">
            <v>3149720</v>
          </cell>
        </row>
        <row r="1962">
          <cell r="D1962">
            <v>6</v>
          </cell>
          <cell r="U1962">
            <v>6320</v>
          </cell>
          <cell r="V1962">
            <v>37920</v>
          </cell>
        </row>
        <row r="1963">
          <cell r="U1963">
            <v>3370</v>
          </cell>
          <cell r="V1963">
            <v>0</v>
          </cell>
        </row>
        <row r="1964">
          <cell r="D1964">
            <v>3</v>
          </cell>
          <cell r="U1964">
            <v>12690</v>
          </cell>
          <cell r="V1964">
            <v>38070</v>
          </cell>
        </row>
        <row r="1965">
          <cell r="U1965">
            <v>130140</v>
          </cell>
          <cell r="V1965">
            <v>0</v>
          </cell>
        </row>
        <row r="1966">
          <cell r="U1966">
            <v>714770</v>
          </cell>
          <cell r="V196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2011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/>
      <sheetData sheetId="2">
        <row r="12">
          <cell r="D12">
            <v>49171</v>
          </cell>
        </row>
        <row r="13">
          <cell r="D13">
            <v>18764</v>
          </cell>
        </row>
        <row r="14">
          <cell r="D14">
            <v>21211</v>
          </cell>
        </row>
        <row r="15">
          <cell r="D15">
            <v>1082</v>
          </cell>
        </row>
        <row r="16">
          <cell r="D16">
            <v>0</v>
          </cell>
        </row>
        <row r="17">
          <cell r="D17">
            <v>1086</v>
          </cell>
        </row>
        <row r="18">
          <cell r="D18">
            <v>4618</v>
          </cell>
        </row>
        <row r="19">
          <cell r="D19">
            <v>3927</v>
          </cell>
        </row>
        <row r="20">
          <cell r="D20">
            <v>100</v>
          </cell>
        </row>
        <row r="21">
          <cell r="D21">
            <v>591</v>
          </cell>
        </row>
        <row r="22">
          <cell r="D22">
            <v>0</v>
          </cell>
        </row>
        <row r="23">
          <cell r="D23">
            <v>61</v>
          </cell>
        </row>
        <row r="24">
          <cell r="D24">
            <v>2349</v>
          </cell>
        </row>
        <row r="25">
          <cell r="D25">
            <v>4141</v>
          </cell>
        </row>
        <row r="26">
          <cell r="D26">
            <v>2711</v>
          </cell>
        </row>
        <row r="27">
          <cell r="D27">
            <v>5</v>
          </cell>
        </row>
        <row r="28">
          <cell r="D28">
            <v>377</v>
          </cell>
        </row>
        <row r="30">
          <cell r="D30">
            <v>811</v>
          </cell>
        </row>
        <row r="31">
          <cell r="D31">
            <v>0</v>
          </cell>
        </row>
        <row r="32">
          <cell r="D32">
            <v>237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6">
          <cell r="F66">
            <v>0</v>
          </cell>
          <cell r="G66">
            <v>0</v>
          </cell>
          <cell r="H66">
            <v>0</v>
          </cell>
        </row>
        <row r="67">
          <cell r="F67">
            <v>106</v>
          </cell>
          <cell r="G67">
            <v>0</v>
          </cell>
          <cell r="H67">
            <v>0</v>
          </cell>
        </row>
        <row r="68">
          <cell r="F68">
            <v>16</v>
          </cell>
          <cell r="G68">
            <v>1</v>
          </cell>
          <cell r="H68">
            <v>0</v>
          </cell>
        </row>
        <row r="69">
          <cell r="F69">
            <v>3</v>
          </cell>
          <cell r="G69">
            <v>1</v>
          </cell>
          <cell r="H69">
            <v>0</v>
          </cell>
        </row>
        <row r="70">
          <cell r="F70">
            <v>91</v>
          </cell>
          <cell r="G70">
            <v>3</v>
          </cell>
          <cell r="H70">
            <v>0</v>
          </cell>
        </row>
        <row r="71">
          <cell r="F71">
            <v>114</v>
          </cell>
          <cell r="G71">
            <v>1</v>
          </cell>
          <cell r="H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</row>
        <row r="73">
          <cell r="F73">
            <v>3</v>
          </cell>
          <cell r="G73">
            <v>0</v>
          </cell>
          <cell r="H73">
            <v>0</v>
          </cell>
        </row>
        <row r="74">
          <cell r="F74">
            <v>186</v>
          </cell>
          <cell r="G74">
            <v>11</v>
          </cell>
          <cell r="H74">
            <v>0</v>
          </cell>
        </row>
        <row r="75">
          <cell r="F75">
            <v>14</v>
          </cell>
          <cell r="G75">
            <v>0</v>
          </cell>
          <cell r="H75">
            <v>0</v>
          </cell>
        </row>
        <row r="76">
          <cell r="F76">
            <v>12</v>
          </cell>
          <cell r="G76">
            <v>0</v>
          </cell>
          <cell r="H76">
            <v>0</v>
          </cell>
        </row>
        <row r="77">
          <cell r="F77">
            <v>8</v>
          </cell>
          <cell r="G77">
            <v>1</v>
          </cell>
          <cell r="H77">
            <v>0</v>
          </cell>
        </row>
        <row r="78">
          <cell r="F78">
            <v>33</v>
          </cell>
          <cell r="G78">
            <v>2</v>
          </cell>
          <cell r="H78">
            <v>0</v>
          </cell>
        </row>
        <row r="79">
          <cell r="F79">
            <v>68</v>
          </cell>
          <cell r="G79">
            <v>0</v>
          </cell>
          <cell r="H79">
            <v>0</v>
          </cell>
        </row>
        <row r="80">
          <cell r="F80">
            <v>46</v>
          </cell>
          <cell r="G80">
            <v>4</v>
          </cell>
          <cell r="H80">
            <v>0</v>
          </cell>
        </row>
        <row r="120">
          <cell r="E120">
            <v>1254</v>
          </cell>
        </row>
      </sheetData>
      <sheetData sheetId="3">
        <row r="13">
          <cell r="U13">
            <v>3830</v>
          </cell>
          <cell r="V13">
            <v>0</v>
          </cell>
        </row>
        <row r="14">
          <cell r="U14">
            <v>4820</v>
          </cell>
          <cell r="V14">
            <v>0</v>
          </cell>
        </row>
        <row r="15">
          <cell r="D15">
            <v>8081</v>
          </cell>
          <cell r="U15">
            <v>10320</v>
          </cell>
          <cell r="V15">
            <v>83395920</v>
          </cell>
        </row>
        <row r="16">
          <cell r="U16">
            <v>6170</v>
          </cell>
          <cell r="V16">
            <v>0</v>
          </cell>
        </row>
        <row r="17">
          <cell r="U17">
            <v>6770</v>
          </cell>
          <cell r="V17">
            <v>0</v>
          </cell>
        </row>
        <row r="18">
          <cell r="U18">
            <v>12950</v>
          </cell>
          <cell r="V18">
            <v>0</v>
          </cell>
        </row>
        <row r="19">
          <cell r="D19">
            <v>60</v>
          </cell>
          <cell r="U19">
            <v>12950</v>
          </cell>
          <cell r="V19">
            <v>777000</v>
          </cell>
        </row>
        <row r="20">
          <cell r="U20">
            <v>5210</v>
          </cell>
          <cell r="V20">
            <v>0</v>
          </cell>
        </row>
        <row r="21">
          <cell r="U21">
            <v>6250</v>
          </cell>
          <cell r="V21">
            <v>0</v>
          </cell>
        </row>
        <row r="22">
          <cell r="U22">
            <v>7760</v>
          </cell>
          <cell r="V22">
            <v>0</v>
          </cell>
        </row>
        <row r="23">
          <cell r="D23">
            <v>1539</v>
          </cell>
          <cell r="U23">
            <v>5210</v>
          </cell>
          <cell r="V23">
            <v>8018190</v>
          </cell>
        </row>
        <row r="24">
          <cell r="D24">
            <v>775</v>
          </cell>
          <cell r="U24">
            <v>6250</v>
          </cell>
          <cell r="V24">
            <v>4843750</v>
          </cell>
        </row>
        <row r="25">
          <cell r="D25">
            <v>2059</v>
          </cell>
          <cell r="U25">
            <v>7760</v>
          </cell>
          <cell r="V25">
            <v>15977840</v>
          </cell>
        </row>
        <row r="27">
          <cell r="D27">
            <v>1481</v>
          </cell>
          <cell r="U27">
            <v>1020</v>
          </cell>
          <cell r="V27">
            <v>1510620</v>
          </cell>
        </row>
        <row r="28">
          <cell r="U28">
            <v>1740</v>
          </cell>
          <cell r="V28">
            <v>0</v>
          </cell>
        </row>
        <row r="29">
          <cell r="U29">
            <v>550</v>
          </cell>
          <cell r="V29">
            <v>0</v>
          </cell>
        </row>
        <row r="30">
          <cell r="D30">
            <v>39</v>
          </cell>
          <cell r="U30">
            <v>1380</v>
          </cell>
          <cell r="V30">
            <v>53820</v>
          </cell>
        </row>
        <row r="31">
          <cell r="D31">
            <v>1222</v>
          </cell>
          <cell r="U31">
            <v>1110</v>
          </cell>
          <cell r="V31">
            <v>1356420</v>
          </cell>
        </row>
        <row r="32">
          <cell r="U32">
            <v>1020</v>
          </cell>
          <cell r="V32">
            <v>0</v>
          </cell>
        </row>
        <row r="34">
          <cell r="U34">
            <v>3340</v>
          </cell>
          <cell r="V34">
            <v>0</v>
          </cell>
        </row>
        <row r="35">
          <cell r="D35">
            <v>642</v>
          </cell>
          <cell r="U35">
            <v>1840</v>
          </cell>
          <cell r="V35">
            <v>1181280</v>
          </cell>
        </row>
        <row r="36">
          <cell r="D36">
            <v>1</v>
          </cell>
          <cell r="U36">
            <v>1840</v>
          </cell>
          <cell r="V36">
            <v>1840</v>
          </cell>
        </row>
        <row r="37">
          <cell r="D37">
            <v>545</v>
          </cell>
          <cell r="U37">
            <v>550</v>
          </cell>
          <cell r="V37">
            <v>299750</v>
          </cell>
        </row>
        <row r="39">
          <cell r="U39">
            <v>1590</v>
          </cell>
          <cell r="V39">
            <v>0</v>
          </cell>
        </row>
        <row r="40">
          <cell r="D40">
            <v>4</v>
          </cell>
          <cell r="U40">
            <v>1590</v>
          </cell>
          <cell r="V40">
            <v>6360</v>
          </cell>
        </row>
        <row r="41">
          <cell r="U41">
            <v>910</v>
          </cell>
          <cell r="V41">
            <v>0</v>
          </cell>
        </row>
        <row r="43">
          <cell r="D43">
            <v>2518</v>
          </cell>
          <cell r="U43">
            <v>700</v>
          </cell>
          <cell r="V43">
            <v>1762600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1240</v>
          </cell>
          <cell r="V47">
            <v>0</v>
          </cell>
        </row>
        <row r="48">
          <cell r="D48">
            <v>465</v>
          </cell>
          <cell r="U48">
            <v>600</v>
          </cell>
          <cell r="V48">
            <v>279000</v>
          </cell>
        </row>
        <row r="49">
          <cell r="D49">
            <v>855</v>
          </cell>
          <cell r="U49">
            <v>1840</v>
          </cell>
          <cell r="V49">
            <v>1573200</v>
          </cell>
        </row>
        <row r="50">
          <cell r="D50">
            <v>42</v>
          </cell>
          <cell r="U50">
            <v>13790</v>
          </cell>
          <cell r="V50">
            <v>579180</v>
          </cell>
        </row>
        <row r="51">
          <cell r="D51">
            <v>59</v>
          </cell>
          <cell r="U51">
            <v>31670</v>
          </cell>
          <cell r="V51">
            <v>1868530</v>
          </cell>
        </row>
        <row r="52">
          <cell r="D52">
            <v>16</v>
          </cell>
          <cell r="V52">
            <v>126400</v>
          </cell>
        </row>
        <row r="59">
          <cell r="D59">
            <v>5291</v>
          </cell>
          <cell r="U59">
            <v>30310</v>
          </cell>
          <cell r="V59">
            <v>160370210</v>
          </cell>
        </row>
        <row r="60">
          <cell r="U60">
            <v>27900</v>
          </cell>
          <cell r="V60">
            <v>0</v>
          </cell>
        </row>
        <row r="61">
          <cell r="U61">
            <v>23260</v>
          </cell>
          <cell r="V61">
            <v>0</v>
          </cell>
        </row>
        <row r="62">
          <cell r="U62">
            <v>126000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217</v>
          </cell>
          <cell r="U65">
            <v>60860</v>
          </cell>
          <cell r="V65">
            <v>13206620</v>
          </cell>
        </row>
        <row r="66">
          <cell r="D66">
            <v>119</v>
          </cell>
          <cell r="V66">
            <v>7242340</v>
          </cell>
        </row>
        <row r="67">
          <cell r="V67">
            <v>0</v>
          </cell>
        </row>
        <row r="68">
          <cell r="D68">
            <v>278</v>
          </cell>
          <cell r="U68">
            <v>54600</v>
          </cell>
          <cell r="V68">
            <v>15178800</v>
          </cell>
        </row>
        <row r="69">
          <cell r="U69">
            <v>15500</v>
          </cell>
          <cell r="V69">
            <v>0</v>
          </cell>
        </row>
        <row r="70">
          <cell r="U70">
            <v>24280</v>
          </cell>
          <cell r="V70">
            <v>0</v>
          </cell>
        </row>
        <row r="71">
          <cell r="U71">
            <v>25270</v>
          </cell>
          <cell r="V71">
            <v>0</v>
          </cell>
        </row>
        <row r="72">
          <cell r="U72">
            <v>10190</v>
          </cell>
          <cell r="V72">
            <v>0</v>
          </cell>
        </row>
        <row r="73">
          <cell r="U73">
            <v>24470</v>
          </cell>
          <cell r="V73">
            <v>0</v>
          </cell>
        </row>
        <row r="74">
          <cell r="U74">
            <v>10190</v>
          </cell>
          <cell r="V74">
            <v>0</v>
          </cell>
        </row>
        <row r="75">
          <cell r="D75">
            <v>9</v>
          </cell>
          <cell r="U75">
            <v>4490</v>
          </cell>
          <cell r="V75">
            <v>40410</v>
          </cell>
        </row>
        <row r="76">
          <cell r="U76">
            <v>30310</v>
          </cell>
          <cell r="V76">
            <v>0</v>
          </cell>
        </row>
        <row r="77">
          <cell r="U77">
            <v>81940</v>
          </cell>
          <cell r="V77">
            <v>0</v>
          </cell>
        </row>
        <row r="78">
          <cell r="U78">
            <v>9670</v>
          </cell>
          <cell r="V78">
            <v>0</v>
          </cell>
        </row>
        <row r="79">
          <cell r="D79">
            <v>46</v>
          </cell>
          <cell r="U79">
            <v>5880</v>
          </cell>
          <cell r="V79">
            <v>270480</v>
          </cell>
        </row>
        <row r="80">
          <cell r="U80">
            <v>42470</v>
          </cell>
          <cell r="V80">
            <v>0</v>
          </cell>
        </row>
        <row r="81">
          <cell r="U81">
            <v>7450</v>
          </cell>
          <cell r="V81">
            <v>0</v>
          </cell>
        </row>
        <row r="83">
          <cell r="V83">
            <v>18777180</v>
          </cell>
        </row>
        <row r="174">
          <cell r="V174">
            <v>22831450</v>
          </cell>
        </row>
        <row r="243">
          <cell r="V243">
            <v>3461820</v>
          </cell>
        </row>
        <row r="289">
          <cell r="V289">
            <v>0</v>
          </cell>
        </row>
        <row r="295">
          <cell r="V295">
            <v>4604410</v>
          </cell>
        </row>
        <row r="362">
          <cell r="V362">
            <v>8070820</v>
          </cell>
        </row>
        <row r="405">
          <cell r="V405">
            <v>237170</v>
          </cell>
        </row>
        <row r="428">
          <cell r="V428">
            <v>2230930</v>
          </cell>
        </row>
        <row r="446">
          <cell r="V446">
            <v>0</v>
          </cell>
        </row>
        <row r="456">
          <cell r="V456">
            <v>78570</v>
          </cell>
        </row>
        <row r="500">
          <cell r="V500">
            <v>2624920</v>
          </cell>
        </row>
        <row r="535">
          <cell r="V535">
            <v>19878460</v>
          </cell>
        </row>
        <row r="590">
          <cell r="V590">
            <v>93890</v>
          </cell>
        </row>
        <row r="615">
          <cell r="V615">
            <v>18037400</v>
          </cell>
        </row>
        <row r="633">
          <cell r="V633">
            <v>14336150</v>
          </cell>
        </row>
        <row r="634">
          <cell r="V634">
            <v>0</v>
          </cell>
        </row>
        <row r="654">
          <cell r="V654">
            <v>0</v>
          </cell>
        </row>
        <row r="670">
          <cell r="V670">
            <v>0</v>
          </cell>
        </row>
        <row r="697">
          <cell r="V697">
            <v>0</v>
          </cell>
        </row>
        <row r="716">
          <cell r="V716">
            <v>0</v>
          </cell>
        </row>
        <row r="723">
          <cell r="V723">
            <v>0</v>
          </cell>
        </row>
        <row r="726">
          <cell r="V726">
            <v>0</v>
          </cell>
        </row>
        <row r="743">
          <cell r="V743">
            <v>0</v>
          </cell>
        </row>
        <row r="760">
          <cell r="V760">
            <v>0</v>
          </cell>
        </row>
        <row r="764">
          <cell r="D764">
            <v>408</v>
          </cell>
          <cell r="V764">
            <v>2598190</v>
          </cell>
        </row>
        <row r="779">
          <cell r="V779">
            <v>0</v>
          </cell>
        </row>
        <row r="791">
          <cell r="D791">
            <v>171</v>
          </cell>
          <cell r="U791">
            <v>6330</v>
          </cell>
          <cell r="V791">
            <v>1082430</v>
          </cell>
        </row>
        <row r="792">
          <cell r="U792">
            <v>2480</v>
          </cell>
          <cell r="V792">
            <v>0</v>
          </cell>
        </row>
        <row r="793">
          <cell r="D793">
            <v>400</v>
          </cell>
          <cell r="U793">
            <v>2480</v>
          </cell>
          <cell r="V793">
            <v>992000</v>
          </cell>
        </row>
        <row r="794">
          <cell r="U794">
            <v>9880</v>
          </cell>
          <cell r="V794">
            <v>0</v>
          </cell>
        </row>
        <row r="795">
          <cell r="D795">
            <v>16</v>
          </cell>
          <cell r="U795">
            <v>11570</v>
          </cell>
          <cell r="V795">
            <v>185120</v>
          </cell>
        </row>
        <row r="796">
          <cell r="U796">
            <v>26240</v>
          </cell>
          <cell r="V796">
            <v>0</v>
          </cell>
        </row>
        <row r="797">
          <cell r="U797">
            <v>2882</v>
          </cell>
          <cell r="V797">
            <v>0</v>
          </cell>
        </row>
        <row r="798">
          <cell r="U798">
            <v>6766</v>
          </cell>
          <cell r="V798">
            <v>0</v>
          </cell>
        </row>
        <row r="801">
          <cell r="U801">
            <v>13080</v>
          </cell>
          <cell r="V801">
            <v>0</v>
          </cell>
        </row>
        <row r="802">
          <cell r="D802">
            <v>14</v>
          </cell>
          <cell r="U802">
            <v>10470</v>
          </cell>
          <cell r="V802">
            <v>146580</v>
          </cell>
        </row>
        <row r="803">
          <cell r="U803">
            <v>355150</v>
          </cell>
          <cell r="V803">
            <v>0</v>
          </cell>
        </row>
        <row r="807">
          <cell r="V807">
            <v>0</v>
          </cell>
        </row>
        <row r="878">
          <cell r="V878">
            <v>37562290</v>
          </cell>
        </row>
        <row r="957">
          <cell r="V957">
            <v>1300535</v>
          </cell>
        </row>
        <row r="1032">
          <cell r="U1032">
            <v>8370</v>
          </cell>
          <cell r="V1032">
            <v>0</v>
          </cell>
        </row>
        <row r="1033">
          <cell r="V1033">
            <v>193030</v>
          </cell>
        </row>
        <row r="1094">
          <cell r="V1094">
            <v>5286240</v>
          </cell>
        </row>
        <row r="1162">
          <cell r="V1162">
            <v>2768245</v>
          </cell>
        </row>
        <row r="1186">
          <cell r="D1186">
            <v>808</v>
          </cell>
          <cell r="U1186">
            <v>4480</v>
          </cell>
          <cell r="V1186">
            <v>3619840</v>
          </cell>
        </row>
        <row r="1187">
          <cell r="D1187">
            <v>14</v>
          </cell>
          <cell r="U1187">
            <v>12640</v>
          </cell>
          <cell r="V1187">
            <v>176960</v>
          </cell>
        </row>
        <row r="1188">
          <cell r="D1188">
            <v>31</v>
          </cell>
          <cell r="U1188">
            <v>21430</v>
          </cell>
          <cell r="V1188">
            <v>664330</v>
          </cell>
        </row>
        <row r="1189">
          <cell r="U1189">
            <v>40910</v>
          </cell>
          <cell r="V1189">
            <v>0</v>
          </cell>
        </row>
        <row r="1190">
          <cell r="D1190">
            <v>69</v>
          </cell>
          <cell r="U1190">
            <v>45600</v>
          </cell>
          <cell r="V1190">
            <v>3146400</v>
          </cell>
        </row>
        <row r="1191">
          <cell r="U1191">
            <v>25580</v>
          </cell>
          <cell r="V1191">
            <v>0</v>
          </cell>
        </row>
        <row r="1192">
          <cell r="U1192">
            <v>197910</v>
          </cell>
          <cell r="V1192">
            <v>0</v>
          </cell>
        </row>
        <row r="1193">
          <cell r="U1193">
            <v>224990</v>
          </cell>
          <cell r="V1193">
            <v>0</v>
          </cell>
        </row>
        <row r="1194">
          <cell r="U1194">
            <v>183470</v>
          </cell>
          <cell r="V1194">
            <v>0</v>
          </cell>
        </row>
        <row r="1195">
          <cell r="U1195">
            <v>235660</v>
          </cell>
          <cell r="V1195">
            <v>0</v>
          </cell>
        </row>
        <row r="1196">
          <cell r="U1196">
            <v>241140</v>
          </cell>
          <cell r="V1196">
            <v>0</v>
          </cell>
        </row>
        <row r="1197">
          <cell r="U1197">
            <v>203920</v>
          </cell>
          <cell r="V1197">
            <v>0</v>
          </cell>
        </row>
        <row r="1198">
          <cell r="U1198">
            <v>217670</v>
          </cell>
          <cell r="V1198">
            <v>0</v>
          </cell>
        </row>
        <row r="1199">
          <cell r="U1199">
            <v>260270</v>
          </cell>
          <cell r="V1199">
            <v>0</v>
          </cell>
        </row>
        <row r="1200">
          <cell r="U1200">
            <v>230810</v>
          </cell>
          <cell r="V1200">
            <v>0</v>
          </cell>
        </row>
        <row r="1201">
          <cell r="U1201">
            <v>1689070</v>
          </cell>
          <cell r="V1201">
            <v>0</v>
          </cell>
        </row>
        <row r="1202">
          <cell r="U1202">
            <v>1054990</v>
          </cell>
          <cell r="V1202">
            <v>0</v>
          </cell>
        </row>
        <row r="1203">
          <cell r="U1203">
            <v>1021110</v>
          </cell>
          <cell r="V1203">
            <v>0</v>
          </cell>
        </row>
        <row r="1204">
          <cell r="U1204">
            <v>1069740</v>
          </cell>
          <cell r="V1204">
            <v>0</v>
          </cell>
        </row>
        <row r="1205">
          <cell r="U1205">
            <v>151380</v>
          </cell>
          <cell r="V1205">
            <v>0</v>
          </cell>
        </row>
        <row r="1206">
          <cell r="U1206">
            <v>345440</v>
          </cell>
          <cell r="V1206">
            <v>0</v>
          </cell>
        </row>
        <row r="1207">
          <cell r="U1207">
            <v>128060</v>
          </cell>
          <cell r="V1207">
            <v>0</v>
          </cell>
        </row>
        <row r="1208">
          <cell r="U1208">
            <v>1037610</v>
          </cell>
          <cell r="V1208">
            <v>0</v>
          </cell>
        </row>
        <row r="1209">
          <cell r="U1209">
            <v>1037610</v>
          </cell>
          <cell r="V1209">
            <v>0</v>
          </cell>
        </row>
        <row r="1210">
          <cell r="V1210">
            <v>0</v>
          </cell>
        </row>
        <row r="1276">
          <cell r="V1276">
            <v>199880</v>
          </cell>
        </row>
        <row r="1343">
          <cell r="D1343">
            <v>31</v>
          </cell>
          <cell r="U1343">
            <v>30950</v>
          </cell>
          <cell r="V1343">
            <v>959450</v>
          </cell>
        </row>
        <row r="1344">
          <cell r="U1344">
            <v>37330</v>
          </cell>
          <cell r="V1344">
            <v>0</v>
          </cell>
        </row>
        <row r="1345">
          <cell r="D1345">
            <v>7</v>
          </cell>
          <cell r="U1345">
            <v>39760</v>
          </cell>
          <cell r="V1345">
            <v>278320</v>
          </cell>
        </row>
        <row r="1346">
          <cell r="V1346">
            <v>49202660</v>
          </cell>
        </row>
        <row r="1430">
          <cell r="V1430">
            <v>1353900</v>
          </cell>
        </row>
        <row r="1470">
          <cell r="U1470">
            <v>38160</v>
          </cell>
          <cell r="V1470">
            <v>0</v>
          </cell>
        </row>
        <row r="1471">
          <cell r="U1471">
            <v>24000</v>
          </cell>
          <cell r="V1471">
            <v>0</v>
          </cell>
        </row>
        <row r="1472">
          <cell r="U1472">
            <v>24000</v>
          </cell>
          <cell r="V1472">
            <v>0</v>
          </cell>
        </row>
        <row r="1473">
          <cell r="U1473">
            <v>726900</v>
          </cell>
          <cell r="V1473">
            <v>0</v>
          </cell>
        </row>
        <row r="1474">
          <cell r="U1474">
            <v>515080</v>
          </cell>
          <cell r="V1474">
            <v>0</v>
          </cell>
        </row>
        <row r="1475">
          <cell r="U1475">
            <v>43850</v>
          </cell>
          <cell r="V1475">
            <v>0</v>
          </cell>
        </row>
        <row r="1476">
          <cell r="U1476">
            <v>591930</v>
          </cell>
          <cell r="V1476">
            <v>0</v>
          </cell>
        </row>
        <row r="1477">
          <cell r="V1477">
            <v>2334440</v>
          </cell>
        </row>
        <row r="1562">
          <cell r="V1562">
            <v>10305970</v>
          </cell>
        </row>
        <row r="1580">
          <cell r="V1580">
            <v>1521565</v>
          </cell>
        </row>
        <row r="1585">
          <cell r="V1585">
            <v>6314620</v>
          </cell>
        </row>
        <row r="1619">
          <cell r="V1619">
            <v>7589250</v>
          </cell>
        </row>
        <row r="1620">
          <cell r="D1620">
            <v>1</v>
          </cell>
          <cell r="V1620">
            <v>93150</v>
          </cell>
        </row>
        <row r="1621">
          <cell r="D1621">
            <v>15</v>
          </cell>
          <cell r="V1621">
            <v>1341900</v>
          </cell>
        </row>
        <row r="1622">
          <cell r="D1622">
            <v>52</v>
          </cell>
          <cell r="V1622">
            <v>6154200</v>
          </cell>
        </row>
        <row r="1623">
          <cell r="V1623">
            <v>0</v>
          </cell>
        </row>
        <row r="1624">
          <cell r="D1624">
            <v>82</v>
          </cell>
          <cell r="U1624">
            <v>118340</v>
          </cell>
          <cell r="V1624">
            <v>9703880</v>
          </cell>
        </row>
        <row r="1625">
          <cell r="D1625">
            <v>8</v>
          </cell>
          <cell r="U1625">
            <v>124520</v>
          </cell>
          <cell r="V1625">
            <v>996160</v>
          </cell>
        </row>
        <row r="1627">
          <cell r="V1627">
            <v>7325135</v>
          </cell>
        </row>
        <row r="1833">
          <cell r="D1833">
            <v>2</v>
          </cell>
          <cell r="F1833">
            <v>0</v>
          </cell>
          <cell r="G1833">
            <v>0</v>
          </cell>
          <cell r="V1833">
            <v>98980</v>
          </cell>
        </row>
        <row r="1837">
          <cell r="D1837">
            <v>30</v>
          </cell>
          <cell r="V1837">
            <v>1957140</v>
          </cell>
        </row>
        <row r="1849">
          <cell r="D1849">
            <v>44</v>
          </cell>
          <cell r="U1849">
            <v>25670</v>
          </cell>
          <cell r="V1849">
            <v>1129480</v>
          </cell>
        </row>
        <row r="1851">
          <cell r="D1851">
            <v>233</v>
          </cell>
          <cell r="U1851">
            <v>16920</v>
          </cell>
          <cell r="V1851">
            <v>3942360</v>
          </cell>
        </row>
        <row r="1852">
          <cell r="D1852">
            <v>156</v>
          </cell>
          <cell r="U1852">
            <v>53200</v>
          </cell>
          <cell r="V1852">
            <v>8299200</v>
          </cell>
        </row>
        <row r="1853">
          <cell r="U1853">
            <v>65950</v>
          </cell>
          <cell r="V1853">
            <v>0</v>
          </cell>
        </row>
        <row r="1854">
          <cell r="D1854">
            <v>191</v>
          </cell>
          <cell r="U1854">
            <v>2320</v>
          </cell>
          <cell r="V1854">
            <v>443120</v>
          </cell>
        </row>
        <row r="1855">
          <cell r="U1855">
            <v>70</v>
          </cell>
          <cell r="V1855">
            <v>0</v>
          </cell>
        </row>
        <row r="1856">
          <cell r="U1856">
            <v>140030</v>
          </cell>
          <cell r="V1856">
            <v>0</v>
          </cell>
        </row>
        <row r="1857">
          <cell r="U1857">
            <v>9520</v>
          </cell>
          <cell r="V1857">
            <v>0</v>
          </cell>
        </row>
        <row r="1859">
          <cell r="V1859">
            <v>5072270</v>
          </cell>
        </row>
        <row r="1876">
          <cell r="V1876">
            <v>8013160</v>
          </cell>
        </row>
        <row r="1895">
          <cell r="V1895">
            <v>2038710</v>
          </cell>
        </row>
        <row r="1920">
          <cell r="D1920">
            <v>268</v>
          </cell>
          <cell r="U1920">
            <v>17720</v>
          </cell>
          <cell r="V1920">
            <v>4748960</v>
          </cell>
        </row>
        <row r="1921">
          <cell r="U1921">
            <v>222170</v>
          </cell>
          <cell r="V1921">
            <v>0</v>
          </cell>
        </row>
        <row r="1923">
          <cell r="U1923">
            <v>226920</v>
          </cell>
          <cell r="V1923">
            <v>0</v>
          </cell>
        </row>
        <row r="1924">
          <cell r="U1924">
            <v>32250</v>
          </cell>
          <cell r="V1924">
            <v>0</v>
          </cell>
        </row>
        <row r="1925">
          <cell r="U1925">
            <v>121620</v>
          </cell>
          <cell r="V1925">
            <v>0</v>
          </cell>
        </row>
        <row r="1926">
          <cell r="U1926">
            <v>121620</v>
          </cell>
          <cell r="V1926">
            <v>0</v>
          </cell>
        </row>
        <row r="1927">
          <cell r="U1927">
            <v>221430</v>
          </cell>
          <cell r="V1927">
            <v>0</v>
          </cell>
        </row>
        <row r="1928">
          <cell r="U1928">
            <v>339820</v>
          </cell>
          <cell r="V1928">
            <v>0</v>
          </cell>
        </row>
        <row r="1929">
          <cell r="U1929">
            <v>579700</v>
          </cell>
          <cell r="V1929">
            <v>0</v>
          </cell>
        </row>
        <row r="1930">
          <cell r="U1930">
            <v>120740</v>
          </cell>
          <cell r="V1930">
            <v>0</v>
          </cell>
        </row>
        <row r="1931">
          <cell r="U1931">
            <v>325420</v>
          </cell>
          <cell r="V1931">
            <v>0</v>
          </cell>
        </row>
        <row r="1932">
          <cell r="U1932">
            <v>137020</v>
          </cell>
          <cell r="V1932">
            <v>0</v>
          </cell>
        </row>
        <row r="1933">
          <cell r="U1933">
            <v>119070</v>
          </cell>
          <cell r="V1933">
            <v>0</v>
          </cell>
        </row>
        <row r="1934">
          <cell r="U1934">
            <v>181020</v>
          </cell>
          <cell r="V1934">
            <v>0</v>
          </cell>
        </row>
        <row r="1935">
          <cell r="U1935">
            <v>47640</v>
          </cell>
          <cell r="V1935">
            <v>0</v>
          </cell>
        </row>
        <row r="1936">
          <cell r="U1936">
            <v>35600</v>
          </cell>
          <cell r="V1936">
            <v>0</v>
          </cell>
        </row>
        <row r="1937">
          <cell r="U1937">
            <v>195210</v>
          </cell>
          <cell r="V1937">
            <v>0</v>
          </cell>
        </row>
        <row r="1938">
          <cell r="U1938">
            <v>1161300</v>
          </cell>
          <cell r="V1938">
            <v>0</v>
          </cell>
        </row>
        <row r="1939">
          <cell r="U1939">
            <v>175210</v>
          </cell>
          <cell r="V1939">
            <v>0</v>
          </cell>
        </row>
        <row r="1940">
          <cell r="U1940">
            <v>154940</v>
          </cell>
          <cell r="V1940">
            <v>0</v>
          </cell>
        </row>
        <row r="1941">
          <cell r="U1941">
            <v>314530</v>
          </cell>
          <cell r="V1941">
            <v>0</v>
          </cell>
        </row>
        <row r="1942">
          <cell r="U1942">
            <v>1045930</v>
          </cell>
          <cell r="V1942">
            <v>0</v>
          </cell>
        </row>
        <row r="1943">
          <cell r="U1943">
            <v>1074870</v>
          </cell>
          <cell r="V1943">
            <v>0</v>
          </cell>
        </row>
        <row r="1944">
          <cell r="U1944">
            <v>851060</v>
          </cell>
          <cell r="V1944">
            <v>0</v>
          </cell>
        </row>
        <row r="1945">
          <cell r="U1945">
            <v>896940</v>
          </cell>
          <cell r="V1945">
            <v>0</v>
          </cell>
        </row>
        <row r="1946">
          <cell r="U1946">
            <v>353830</v>
          </cell>
          <cell r="V1946">
            <v>0</v>
          </cell>
        </row>
        <row r="1947">
          <cell r="U1947">
            <v>84740</v>
          </cell>
          <cell r="V1947">
            <v>0</v>
          </cell>
        </row>
        <row r="1948">
          <cell r="U1948">
            <v>252810</v>
          </cell>
          <cell r="V1948">
            <v>0</v>
          </cell>
        </row>
        <row r="1949">
          <cell r="U1949">
            <v>71480</v>
          </cell>
          <cell r="V1949">
            <v>0</v>
          </cell>
        </row>
        <row r="1950">
          <cell r="U1950">
            <v>1228260</v>
          </cell>
          <cell r="V1950">
            <v>0</v>
          </cell>
        </row>
        <row r="1951">
          <cell r="U1951">
            <v>287200</v>
          </cell>
          <cell r="V1951">
            <v>0</v>
          </cell>
        </row>
        <row r="1952">
          <cell r="U1952">
            <v>962120</v>
          </cell>
          <cell r="V1952">
            <v>0</v>
          </cell>
        </row>
        <row r="1953">
          <cell r="U1953">
            <v>589010</v>
          </cell>
          <cell r="V1953">
            <v>0</v>
          </cell>
        </row>
        <row r="1954">
          <cell r="U1954">
            <v>480670</v>
          </cell>
          <cell r="V1954">
            <v>0</v>
          </cell>
        </row>
        <row r="1955">
          <cell r="U1955">
            <v>259110</v>
          </cell>
          <cell r="V1955">
            <v>0</v>
          </cell>
        </row>
        <row r="1956">
          <cell r="U1956">
            <v>151070</v>
          </cell>
          <cell r="V1956">
            <v>0</v>
          </cell>
        </row>
        <row r="1957">
          <cell r="U1957">
            <v>365020</v>
          </cell>
          <cell r="V1957">
            <v>0</v>
          </cell>
        </row>
        <row r="1958">
          <cell r="U1958">
            <v>378270</v>
          </cell>
          <cell r="V1958">
            <v>0</v>
          </cell>
        </row>
        <row r="1959">
          <cell r="U1959">
            <v>236360</v>
          </cell>
          <cell r="V1959">
            <v>0</v>
          </cell>
        </row>
        <row r="1960">
          <cell r="D1960">
            <v>89</v>
          </cell>
          <cell r="U1960">
            <v>32140</v>
          </cell>
          <cell r="V1960">
            <v>2860460</v>
          </cell>
        </row>
        <row r="1962">
          <cell r="D1962">
            <v>6</v>
          </cell>
          <cell r="U1962">
            <v>6320</v>
          </cell>
          <cell r="V1962">
            <v>37920</v>
          </cell>
        </row>
        <row r="1963">
          <cell r="U1963">
            <v>3370</v>
          </cell>
          <cell r="V1963">
            <v>0</v>
          </cell>
        </row>
        <row r="1964">
          <cell r="D1964">
            <v>3</v>
          </cell>
          <cell r="U1964">
            <v>12690</v>
          </cell>
          <cell r="V1964">
            <v>38070</v>
          </cell>
        </row>
        <row r="1965">
          <cell r="U1965">
            <v>130140</v>
          </cell>
          <cell r="V1965">
            <v>0</v>
          </cell>
        </row>
        <row r="1966">
          <cell r="U1966">
            <v>714770</v>
          </cell>
          <cell r="V1966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tabSelected="1" workbookViewId="0">
      <selection activeCell="A4" sqref="A4"/>
    </sheetView>
  </sheetViews>
  <sheetFormatPr baseColWidth="10" defaultRowHeight="10.5" x14ac:dyDescent="0.15"/>
  <cols>
    <col min="1" max="1" width="15" style="4" customWidth="1"/>
    <col min="2" max="2" width="74" style="4" customWidth="1"/>
    <col min="3" max="5" width="21.42578125" style="4" customWidth="1"/>
    <col min="6" max="6" width="19.5703125" style="237" customWidth="1"/>
    <col min="7" max="7" width="2.42578125" style="4" customWidth="1"/>
    <col min="8" max="9" width="5.140625" style="4" customWidth="1"/>
    <col min="10" max="256" width="11.42578125" style="4"/>
    <col min="257" max="257" width="15" style="4" customWidth="1"/>
    <col min="258" max="258" width="74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15" style="4" customWidth="1"/>
    <col min="514" max="514" width="74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15" style="4" customWidth="1"/>
    <col min="770" max="770" width="74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15" style="4" customWidth="1"/>
    <col min="1026" max="1026" width="74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15" style="4" customWidth="1"/>
    <col min="1282" max="1282" width="74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15" style="4" customWidth="1"/>
    <col min="1538" max="1538" width="74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15" style="4" customWidth="1"/>
    <col min="1794" max="1794" width="74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15" style="4" customWidth="1"/>
    <col min="2050" max="2050" width="74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15" style="4" customWidth="1"/>
    <col min="2306" max="2306" width="74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15" style="4" customWidth="1"/>
    <col min="2562" max="2562" width="74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15" style="4" customWidth="1"/>
    <col min="2818" max="2818" width="74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15" style="4" customWidth="1"/>
    <col min="3074" max="3074" width="74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15" style="4" customWidth="1"/>
    <col min="3330" max="3330" width="74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15" style="4" customWidth="1"/>
    <col min="3586" max="3586" width="74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15" style="4" customWidth="1"/>
    <col min="3842" max="3842" width="74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15" style="4" customWidth="1"/>
    <col min="4098" max="4098" width="74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15" style="4" customWidth="1"/>
    <col min="4354" max="4354" width="74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15" style="4" customWidth="1"/>
    <col min="4610" max="4610" width="74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15" style="4" customWidth="1"/>
    <col min="4866" max="4866" width="74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15" style="4" customWidth="1"/>
    <col min="5122" max="5122" width="74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15" style="4" customWidth="1"/>
    <col min="5378" max="5378" width="74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15" style="4" customWidth="1"/>
    <col min="5634" max="5634" width="74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15" style="4" customWidth="1"/>
    <col min="5890" max="5890" width="74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15" style="4" customWidth="1"/>
    <col min="6146" max="6146" width="74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15" style="4" customWidth="1"/>
    <col min="6402" max="6402" width="74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15" style="4" customWidth="1"/>
    <col min="6658" max="6658" width="74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15" style="4" customWidth="1"/>
    <col min="6914" max="6914" width="74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15" style="4" customWidth="1"/>
    <col min="7170" max="7170" width="74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15" style="4" customWidth="1"/>
    <col min="7426" max="7426" width="74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15" style="4" customWidth="1"/>
    <col min="7682" max="7682" width="74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15" style="4" customWidth="1"/>
    <col min="7938" max="7938" width="74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15" style="4" customWidth="1"/>
    <col min="8194" max="8194" width="74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15" style="4" customWidth="1"/>
    <col min="8450" max="8450" width="74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15" style="4" customWidth="1"/>
    <col min="8706" max="8706" width="74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15" style="4" customWidth="1"/>
    <col min="8962" max="8962" width="74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15" style="4" customWidth="1"/>
    <col min="9218" max="9218" width="74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15" style="4" customWidth="1"/>
    <col min="9474" max="9474" width="74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15" style="4" customWidth="1"/>
    <col min="9730" max="9730" width="74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15" style="4" customWidth="1"/>
    <col min="9986" max="9986" width="74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15" style="4" customWidth="1"/>
    <col min="10242" max="10242" width="74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15" style="4" customWidth="1"/>
    <col min="10498" max="10498" width="74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15" style="4" customWidth="1"/>
    <col min="10754" max="10754" width="74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15" style="4" customWidth="1"/>
    <col min="11010" max="11010" width="74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15" style="4" customWidth="1"/>
    <col min="11266" max="11266" width="74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15" style="4" customWidth="1"/>
    <col min="11522" max="11522" width="74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15" style="4" customWidth="1"/>
    <col min="11778" max="11778" width="74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15" style="4" customWidth="1"/>
    <col min="12034" max="12034" width="74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15" style="4" customWidth="1"/>
    <col min="12290" max="12290" width="74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15" style="4" customWidth="1"/>
    <col min="12546" max="12546" width="74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15" style="4" customWidth="1"/>
    <col min="12802" max="12802" width="74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15" style="4" customWidth="1"/>
    <col min="13058" max="13058" width="74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15" style="4" customWidth="1"/>
    <col min="13314" max="13314" width="74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15" style="4" customWidth="1"/>
    <col min="13570" max="13570" width="74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15" style="4" customWidth="1"/>
    <col min="13826" max="13826" width="74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15" style="4" customWidth="1"/>
    <col min="14082" max="14082" width="74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15" style="4" customWidth="1"/>
    <col min="14338" max="14338" width="74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15" style="4" customWidth="1"/>
    <col min="14594" max="14594" width="74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15" style="4" customWidth="1"/>
    <col min="14850" max="14850" width="74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15" style="4" customWidth="1"/>
    <col min="15106" max="15106" width="74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15" style="4" customWidth="1"/>
    <col min="15362" max="15362" width="74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15" style="4" customWidth="1"/>
    <col min="15618" max="15618" width="74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15" style="4" customWidth="1"/>
    <col min="15874" max="15874" width="74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15" style="4" customWidth="1"/>
    <col min="16130" max="16130" width="74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271" t="s">
        <v>1</v>
      </c>
      <c r="D1" s="272"/>
      <c r="E1" s="273"/>
      <c r="F1" s="3"/>
    </row>
    <row r="2" spans="1:7" ht="12.75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68"/>
      <c r="D2" s="269"/>
      <c r="E2" s="270"/>
      <c r="F2" s="5"/>
      <c r="G2" s="6"/>
    </row>
    <row r="3" spans="1:7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71" t="s">
        <v>2</v>
      </c>
      <c r="D3" s="272"/>
      <c r="E3" s="273"/>
      <c r="F3" s="5"/>
      <c r="G3" s="7"/>
    </row>
    <row r="4" spans="1:7" ht="12.75" x14ac:dyDescent="0.2">
      <c r="A4" s="1"/>
      <c r="B4" s="2"/>
      <c r="C4" s="268" t="str">
        <f>CONCATENATE([1]NOMBRE!B6," ","( ",[1]NOMBRE!C6,[1]NOMBRE!D6," )")</f>
        <v>ENERO ( 01 )</v>
      </c>
      <c r="D4" s="269"/>
      <c r="E4" s="270"/>
      <c r="F4" s="5"/>
      <c r="G4" s="7"/>
    </row>
    <row r="5" spans="1:7" ht="12.75" x14ac:dyDescent="0.2">
      <c r="A5" s="1" t="str">
        <f>CONCATENATE("AÑO: ",[1]NOMBRE!B7)</f>
        <v>AÑO: 2011</v>
      </c>
      <c r="B5" s="2"/>
      <c r="C5" s="271" t="s">
        <v>3</v>
      </c>
      <c r="D5" s="272"/>
      <c r="E5" s="273"/>
      <c r="F5" s="5"/>
      <c r="G5" s="7"/>
    </row>
    <row r="6" spans="1:7" ht="12.75" x14ac:dyDescent="0.2">
      <c r="A6" s="8"/>
      <c r="B6" s="8"/>
      <c r="C6" s="268">
        <f>[1]NOMBRE!B7</f>
        <v>2011</v>
      </c>
      <c r="D6" s="269"/>
      <c r="E6" s="270"/>
      <c r="F6" s="5"/>
      <c r="G6" s="7"/>
    </row>
    <row r="7" spans="1:7" ht="12.75" x14ac:dyDescent="0.2">
      <c r="A7" s="263" t="s">
        <v>4</v>
      </c>
      <c r="B7" s="264"/>
      <c r="C7" s="265" t="s">
        <v>5</v>
      </c>
      <c r="D7" s="266"/>
      <c r="E7" s="267"/>
      <c r="F7" s="5"/>
      <c r="G7" s="7"/>
    </row>
    <row r="8" spans="1:7" ht="12.75" x14ac:dyDescent="0.2">
      <c r="A8" s="8"/>
      <c r="B8" s="9" t="s">
        <v>6</v>
      </c>
      <c r="C8" s="268" t="str">
        <f>CONCATENATE([1]NOMBRE!B3," ","( ",[1]NOMBRE!C3,[1]NOMBRE!D3,[1]NOMBRE!E3,[1]NOMBRE!F3,[1]NOMBRE!G3," )")</f>
        <v>HOSPITAL DE LINARES  ( 16108 )</v>
      </c>
      <c r="D8" s="269"/>
      <c r="E8" s="270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256" t="s">
        <v>7</v>
      </c>
      <c r="B11" s="252"/>
      <c r="C11" s="252"/>
      <c r="D11" s="252"/>
      <c r="E11" s="253"/>
      <c r="F11" s="5"/>
    </row>
    <row r="12" spans="1:7" ht="43.5" customHeight="1" x14ac:dyDescent="0.2">
      <c r="A12" s="11" t="s">
        <v>8</v>
      </c>
      <c r="B12" s="11" t="s">
        <v>9</v>
      </c>
      <c r="C12" s="15" t="s">
        <v>10</v>
      </c>
      <c r="D12" s="13" t="s">
        <v>11</v>
      </c>
      <c r="E12" s="16" t="s">
        <v>12</v>
      </c>
      <c r="F12" s="8"/>
    </row>
    <row r="13" spans="1:7" ht="12.75" customHeight="1" x14ac:dyDescent="0.2">
      <c r="A13" s="242" t="s">
        <v>13</v>
      </c>
      <c r="B13" s="243"/>
      <c r="C13" s="243"/>
      <c r="D13" s="243"/>
      <c r="E13" s="244"/>
      <c r="F13" s="8"/>
    </row>
    <row r="14" spans="1:7" ht="15" customHeight="1" x14ac:dyDescent="0.2">
      <c r="A14" s="17" t="s">
        <v>14</v>
      </c>
      <c r="B14" s="18" t="s">
        <v>15</v>
      </c>
      <c r="C14" s="19">
        <f>ENERO!C14+FEBRERO!C14+MARZO!C14+ABRIL!C14+MAYO!C14+JUNIO!C14+JULIO!C14+AGOSTO!C14+SEPTIEMBRE!C14+OCTUBRE!C14+NOVIEMBRE!C14+DICIEMBRE!C14</f>
        <v>0</v>
      </c>
      <c r="D14" s="20">
        <f>[1]BS17A!$U13</f>
        <v>3710</v>
      </c>
      <c r="E14" s="21">
        <f>ENERO!E14+FEBRERO!E14+MARZO!E14+ABRIL!E14+MAYO!E14+JUNIO!E14+JULIO!E14+AGOSTO!E14+SEPTIEMBRE!E14+OCTUBRE!E14+NOVIEMBRE!E14+DICIEMBRE!E14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24">
        <f>ENERO!C15+FEBRERO!C15+MARZO!C15+ABRIL!C15+MAYO!C15+JUNIO!C15+JULIO!C15+AGOSTO!C15+SEPTIEMBRE!C15+OCTUBRE!C15+NOVIEMBRE!C15+DICIEMBRE!C15</f>
        <v>0</v>
      </c>
      <c r="D15" s="25">
        <f>[1]BS17A!$U14</f>
        <v>4670</v>
      </c>
      <c r="E15" s="26">
        <f>ENERO!E15+FEBRERO!E15+MARZO!E15+ABRIL!E15+MAYO!E15+JUNIO!E15+JULIO!E15+AGOSTO!E15+SEPTIEMBRE!E15+OCTUBRE!E15+NOVIEMBRE!E15+DICIEMBRE!E15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24">
        <f>ENERO!C16+FEBRERO!C16+MARZO!C16+ABRIL!C16+MAYO!C16+JUNIO!C16+JULIO!C16+AGOSTO!C16+SEPTIEMBRE!C16+OCTUBRE!C16+NOVIEMBRE!C16+DICIEMBRE!C16</f>
        <v>93079</v>
      </c>
      <c r="D16" s="25">
        <f>[1]BS17A!$U15</f>
        <v>9990</v>
      </c>
      <c r="E16" s="26">
        <f>ENERO!E16+FEBRERO!E16+MARZO!E16+ABRIL!E16+MAYO!E16+JUNIO!E16+JULIO!E16+AGOSTO!E16+SEPTIEMBRE!E16+OCTUBRE!E16+NOVIEMBRE!E16+DICIEMBRE!E16</f>
        <v>952012770</v>
      </c>
      <c r="F16" s="8"/>
    </row>
    <row r="17" spans="1:6" ht="15" customHeight="1" x14ac:dyDescent="0.2">
      <c r="A17" s="22" t="s">
        <v>20</v>
      </c>
      <c r="B17" s="23" t="s">
        <v>21</v>
      </c>
      <c r="C17" s="24">
        <f>ENERO!C17+FEBRERO!C17+MARZO!C17+ABRIL!C17+MAYO!C17+JUNIO!C17+JULIO!C17+AGOSTO!C17+SEPTIEMBRE!C17+OCTUBRE!C17+NOVIEMBRE!C17+DICIEMBRE!C17</f>
        <v>0</v>
      </c>
      <c r="D17" s="25">
        <f>[1]BS17A!$U16</f>
        <v>5970</v>
      </c>
      <c r="E17" s="26">
        <f>ENERO!E17+FEBRERO!E17+MARZO!E17+ABRIL!E17+MAYO!E17+JUNIO!E17+JULIO!E17+AGOSTO!E17+SEPTIEMBRE!E17+OCTUBRE!E17+NOVIEMBRE!E17+DICIEMBRE!E17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24">
        <f>ENERO!C18+FEBRERO!C18+MARZO!C18+ABRIL!C18+MAYO!C18+JUNIO!C18+JULIO!C18+AGOSTO!C18+SEPTIEMBRE!C18+OCTUBRE!C18+NOVIEMBRE!C18+DICIEMBRE!C18</f>
        <v>8937</v>
      </c>
      <c r="D18" s="25">
        <f>[1]BS17A!$U17</f>
        <v>6550</v>
      </c>
      <c r="E18" s="26">
        <f>ENERO!E18+FEBRERO!E18+MARZO!E18+ABRIL!E18+MAYO!E18+JUNIO!E18+JULIO!E18+AGOSTO!E18+SEPTIEMBRE!E18+OCTUBRE!E18+NOVIEMBRE!E18+DICIEMBRE!E18</f>
        <v>58537350</v>
      </c>
      <c r="F18" s="8"/>
    </row>
    <row r="19" spans="1:6" ht="33" customHeight="1" x14ac:dyDescent="0.2">
      <c r="A19" s="22" t="s">
        <v>24</v>
      </c>
      <c r="B19" s="27" t="s">
        <v>25</v>
      </c>
      <c r="C19" s="24">
        <f>ENERO!C19+FEBRERO!C19+MARZO!C19+ABRIL!C19+MAYO!C19+JUNIO!C19+JULIO!C19+AGOSTO!C19+SEPTIEMBRE!C19+OCTUBRE!C19+NOVIEMBRE!C19+DICIEMBRE!C19</f>
        <v>0</v>
      </c>
      <c r="D19" s="25">
        <f>[1]BS17A!$U20</f>
        <v>5040</v>
      </c>
      <c r="E19" s="26">
        <f>ENERO!E19+FEBRERO!E19+MARZO!E19+ABRIL!E19+MAYO!E19+JUNIO!E19+JULIO!E19+AGOSTO!E19+SEPTIEMBRE!E19+OCTUBRE!E19+NOVIEMBRE!E19+DICIEMBRE!E19</f>
        <v>0</v>
      </c>
      <c r="F19" s="8"/>
    </row>
    <row r="20" spans="1:6" ht="42.75" customHeight="1" x14ac:dyDescent="0.2">
      <c r="A20" s="22" t="s">
        <v>26</v>
      </c>
      <c r="B20" s="27" t="s">
        <v>27</v>
      </c>
      <c r="C20" s="24">
        <f>ENERO!C20+FEBRERO!C20+MARZO!C20+ABRIL!C20+MAYO!C20+JUNIO!C20+JULIO!C20+AGOSTO!C20+SEPTIEMBRE!C20+OCTUBRE!C20+NOVIEMBRE!C20+DICIEMBRE!C20</f>
        <v>0</v>
      </c>
      <c r="D20" s="25">
        <f>[1]BS17A!$U21</f>
        <v>6050</v>
      </c>
      <c r="E20" s="26">
        <f>ENERO!E20+FEBRERO!E20+MARZO!E20+ABRIL!E20+MAYO!E20+JUNIO!E20+JULIO!E20+AGOSTO!E20+SEPTIEMBRE!E20+OCTUBRE!E20+NOVIEMBRE!E20+DICIEMBRE!E20</f>
        <v>0</v>
      </c>
      <c r="F20" s="8"/>
    </row>
    <row r="21" spans="1:6" ht="42.75" customHeight="1" x14ac:dyDescent="0.2">
      <c r="A21" s="22" t="s">
        <v>28</v>
      </c>
      <c r="B21" s="27" t="s">
        <v>29</v>
      </c>
      <c r="C21" s="24">
        <f>ENERO!C21+FEBRERO!C21+MARZO!C21+ABRIL!C21+MAYO!C21+JUNIO!C21+JULIO!C21+AGOSTO!C21+SEPTIEMBRE!C21+OCTUBRE!C21+NOVIEMBRE!C21+DICIEMBRE!C21</f>
        <v>0</v>
      </c>
      <c r="D21" s="25">
        <f>[1]BS17A!$U22</f>
        <v>7510</v>
      </c>
      <c r="E21" s="26">
        <f>ENERO!E21+FEBRERO!E21+MARZO!E21+ABRIL!E21+MAYO!E21+JUNIO!E21+JULIO!E21+AGOSTO!E21+SEPTIEMBRE!E21+OCTUBRE!E21+NOVIEMBRE!E21+DICIEMBRE!E21</f>
        <v>0</v>
      </c>
      <c r="F21" s="8"/>
    </row>
    <row r="22" spans="1:6" ht="32.25" customHeight="1" x14ac:dyDescent="0.2">
      <c r="A22" s="22" t="s">
        <v>30</v>
      </c>
      <c r="B22" s="27" t="s">
        <v>31</v>
      </c>
      <c r="C22" s="24">
        <f>ENERO!C22+FEBRERO!C22+MARZO!C22+ABRIL!C22+MAYO!C22+JUNIO!C22+JULIO!C22+AGOSTO!C22+SEPTIEMBRE!C22+OCTUBRE!C22+NOVIEMBRE!C22+DICIEMBRE!C22</f>
        <v>17543</v>
      </c>
      <c r="D22" s="25">
        <f>[1]BS17A!$U23</f>
        <v>5040</v>
      </c>
      <c r="E22" s="26">
        <f>ENERO!E22+FEBRERO!E22+MARZO!E22+ABRIL!E22+MAYO!E22+JUNIO!E22+JULIO!E22+AGOSTO!E22+SEPTIEMBRE!E22+OCTUBRE!E22+NOVIEMBRE!E22+DICIEMBRE!E22</f>
        <v>90497860</v>
      </c>
      <c r="F22" s="8"/>
    </row>
    <row r="23" spans="1:6" ht="40.5" customHeight="1" x14ac:dyDescent="0.2">
      <c r="A23" s="22" t="s">
        <v>32</v>
      </c>
      <c r="B23" s="27" t="s">
        <v>33</v>
      </c>
      <c r="C23" s="24">
        <f>ENERO!C23+FEBRERO!C23+MARZO!C23+ABRIL!C23+MAYO!C23+JUNIO!C23+JULIO!C23+AGOSTO!C23+SEPTIEMBRE!C23+OCTUBRE!C23+NOVIEMBRE!C23+DICIEMBRE!C23</f>
        <v>8730</v>
      </c>
      <c r="D23" s="25">
        <f>[1]BS17A!$U24</f>
        <v>6050</v>
      </c>
      <c r="E23" s="26">
        <f>ENERO!E23+FEBRERO!E23+MARZO!E23+ABRIL!E23+MAYO!E23+JUNIO!E23+JULIO!E23+AGOSTO!E23+SEPTIEMBRE!E23+OCTUBRE!E23+NOVIEMBRE!E23+DICIEMBRE!E23</f>
        <v>53976100</v>
      </c>
      <c r="F23" s="8"/>
    </row>
    <row r="24" spans="1:6" ht="27" customHeight="1" x14ac:dyDescent="0.2">
      <c r="A24" s="22" t="s">
        <v>34</v>
      </c>
      <c r="B24" s="27" t="s">
        <v>35</v>
      </c>
      <c r="C24" s="24">
        <f>ENERO!C24+FEBRERO!C24+MARZO!C24+ABRIL!C24+MAYO!C24+JUNIO!C24+JULIO!C24+AGOSTO!C24+SEPTIEMBRE!C24+OCTUBRE!C24+NOVIEMBRE!C24+DICIEMBRE!C24</f>
        <v>23445</v>
      </c>
      <c r="D24" s="25">
        <f>[1]BS17A!$U25</f>
        <v>7510</v>
      </c>
      <c r="E24" s="26">
        <f>ENERO!E24+FEBRERO!E24+MARZO!E24+ABRIL!E24+MAYO!E24+JUNIO!E24+JULIO!E24+AGOSTO!E24+SEPTIEMBRE!E24+OCTUBRE!E24+NOVIEMBRE!E24+DICIEMBRE!E24</f>
        <v>179965700</v>
      </c>
      <c r="F24" s="8"/>
    </row>
    <row r="25" spans="1:6" ht="15" customHeight="1" x14ac:dyDescent="0.2">
      <c r="A25" s="22" t="s">
        <v>36</v>
      </c>
      <c r="B25" s="28" t="s">
        <v>37</v>
      </c>
      <c r="C25" s="24">
        <f>ENERO!C25+FEBRERO!C25+MARZO!C25+ABRIL!C25+MAYO!C25+JUNIO!C25+JULIO!C25+AGOSTO!C25+SEPTIEMBRE!C25+OCTUBRE!C25+NOVIEMBRE!C25+DICIEMBRE!C25</f>
        <v>1686</v>
      </c>
      <c r="D25" s="25">
        <f>+[1]BS17A!$U791</f>
        <v>6130</v>
      </c>
      <c r="E25" s="26">
        <f>ENERO!E25+FEBRERO!E25+MARZO!E25+ABRIL!E25+MAYO!E25+JUNIO!E25+JULIO!E25+AGOSTO!E25+SEPTIEMBRE!E25+OCTUBRE!E25+NOVIEMBRE!E25+DICIEMBRE!E25</f>
        <v>10594980</v>
      </c>
      <c r="F25" s="8"/>
    </row>
    <row r="26" spans="1:6" ht="15" customHeight="1" x14ac:dyDescent="0.2">
      <c r="A26" s="29" t="s">
        <v>38</v>
      </c>
      <c r="B26" s="30" t="s">
        <v>39</v>
      </c>
      <c r="C26" s="31">
        <f>ENERO!C26+FEBRERO!C26+MARZO!C26+ABRIL!C26+MAYO!C26+JUNIO!C26+JULIO!C26+AGOSTO!C26+SEPTIEMBRE!C26+OCTUBRE!C26+NOVIEMBRE!C26+DICIEMBRE!C26</f>
        <v>0</v>
      </c>
      <c r="D26" s="32">
        <f>+[1]BS17A!$U796</f>
        <v>25400</v>
      </c>
      <c r="E26" s="33">
        <f>ENERO!E26+FEBRERO!E26+MARZO!E26+ABRIL!E26+MAYO!E26+JUNIO!E26+JULIO!E26+AGOSTO!E26+SEPTIEMBRE!E26+OCTUBRE!E26+NOVIEMBRE!E26+DICIEMBRE!E26</f>
        <v>0</v>
      </c>
      <c r="F26" s="8"/>
    </row>
    <row r="27" spans="1:6" ht="18" customHeight="1" x14ac:dyDescent="0.2">
      <c r="A27" s="242" t="s">
        <v>40</v>
      </c>
      <c r="B27" s="243"/>
      <c r="C27" s="243"/>
      <c r="D27" s="243"/>
      <c r="E27" s="244"/>
      <c r="F27" s="8"/>
    </row>
    <row r="28" spans="1:6" ht="15" customHeight="1" x14ac:dyDescent="0.2">
      <c r="A28" s="17" t="s">
        <v>41</v>
      </c>
      <c r="B28" s="18" t="s">
        <v>42</v>
      </c>
      <c r="C28" s="19">
        <f>ENERO!C28+FEBRERO!C28+MARZO!C28+ABRIL!C28+MAYO!C28+JUNIO!C28+JULIO!C28+AGOSTO!C28+SEPTIEMBRE!C28+OCTUBRE!C28+NOVIEMBRE!C28+DICIEMBRE!C28</f>
        <v>18354</v>
      </c>
      <c r="D28" s="20">
        <f>[1]BS17A!$U27</f>
        <v>990</v>
      </c>
      <c r="E28" s="21">
        <f>ENERO!E28+FEBRERO!E28+MARZO!E28+ABRIL!E28+MAYO!E28+JUNIO!E28+JULIO!E28+AGOSTO!E28+SEPTIEMBRE!E28+OCTUBRE!E28+NOVIEMBRE!E28+DICIEMBRE!E28</f>
        <v>18543270</v>
      </c>
      <c r="F28" s="8"/>
    </row>
    <row r="29" spans="1:6" ht="15" customHeight="1" x14ac:dyDescent="0.2">
      <c r="A29" s="22" t="s">
        <v>43</v>
      </c>
      <c r="B29" s="34" t="s">
        <v>44</v>
      </c>
      <c r="C29" s="24">
        <f>ENERO!C29+FEBRERO!C29+MARZO!C29+ABRIL!C29+MAYO!C29+JUNIO!C29+JULIO!C29+AGOSTO!C29+SEPTIEMBRE!C29+OCTUBRE!C29+NOVIEMBRE!C29+DICIEMBRE!C29</f>
        <v>0</v>
      </c>
      <c r="D29" s="25">
        <f>[1]BS17A!$U28</f>
        <v>1680</v>
      </c>
      <c r="E29" s="26">
        <f>ENERO!E29+FEBRERO!E29+MARZO!E29+ABRIL!E29+MAYO!E29+JUNIO!E29+JULIO!E29+AGOSTO!E29+SEPTIEMBRE!E29+OCTUBRE!E29+NOVIEMBRE!E29+DICIEMBRE!E29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24">
        <f>ENERO!C30+FEBRERO!C30+MARZO!C30+ABRIL!C30+MAYO!C30+JUNIO!C30+JULIO!C30+AGOSTO!C30+SEPTIEMBRE!C30+OCTUBRE!C30+NOVIEMBRE!C30+DICIEMBRE!C30</f>
        <v>0</v>
      </c>
      <c r="D30" s="25">
        <f>[1]BS17A!$U29</f>
        <v>530</v>
      </c>
      <c r="E30" s="26">
        <f>ENERO!E30+FEBRERO!E30+MARZO!E30+ABRIL!E30+MAYO!E30+JUNIO!E30+JULIO!E30+AGOSTO!E30+SEPTIEMBRE!E30+OCTUBRE!E30+NOVIEMBRE!E30+DICIEMBRE!E30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24">
        <f>ENERO!C31+FEBRERO!C31+MARZO!C31+ABRIL!C31+MAYO!C31+JUNIO!C31+JULIO!C31+AGOSTO!C31+SEPTIEMBRE!C31+OCTUBRE!C31+NOVIEMBRE!C31+DICIEMBRE!C31</f>
        <v>341</v>
      </c>
      <c r="D31" s="25">
        <f>[1]BS17A!$U30</f>
        <v>1340</v>
      </c>
      <c r="E31" s="26">
        <f>ENERO!E31+FEBRERO!E31+MARZO!E31+ABRIL!E31+MAYO!E31+JUNIO!E31+JULIO!E31+AGOSTO!E31+SEPTIEMBRE!E31+OCTUBRE!E31+NOVIEMBRE!E31+DICIEMBRE!E31</f>
        <v>465620</v>
      </c>
      <c r="F31" s="8"/>
    </row>
    <row r="32" spans="1:6" ht="15" customHeight="1" x14ac:dyDescent="0.2">
      <c r="A32" s="22" t="s">
        <v>49</v>
      </c>
      <c r="B32" s="23" t="s">
        <v>50</v>
      </c>
      <c r="C32" s="24">
        <f>ENERO!C32+FEBRERO!C32+MARZO!C32+ABRIL!C32+MAYO!C32+JUNIO!C32+JULIO!C32+AGOSTO!C32+SEPTIEMBRE!C32+OCTUBRE!C32+NOVIEMBRE!C32+DICIEMBRE!C32</f>
        <v>12668</v>
      </c>
      <c r="D32" s="25">
        <f>[1]BS17A!$U31</f>
        <v>1070</v>
      </c>
      <c r="E32" s="26">
        <f>ENERO!E32+FEBRERO!E32+MARZO!E32+ABRIL!E32+MAYO!E32+JUNIO!E32+JULIO!E32+AGOSTO!E32+SEPTIEMBRE!E32+OCTUBRE!E32+NOVIEMBRE!E32+DICIEMBRE!E32</f>
        <v>13909520</v>
      </c>
      <c r="F32" s="8"/>
    </row>
    <row r="33" spans="1:6" ht="15" customHeight="1" x14ac:dyDescent="0.2">
      <c r="A33" s="22" t="s">
        <v>51</v>
      </c>
      <c r="B33" s="34" t="s">
        <v>52</v>
      </c>
      <c r="C33" s="24">
        <f>ENERO!C33+FEBRERO!C33+MARZO!C33+ABRIL!C33+MAYO!C33+JUNIO!C33+JULIO!C33+AGOSTO!C33+SEPTIEMBRE!C33+OCTUBRE!C33+NOVIEMBRE!C33+DICIEMBRE!C33</f>
        <v>0</v>
      </c>
      <c r="D33" s="25">
        <f>[1]BS17A!$U32</f>
        <v>990</v>
      </c>
      <c r="E33" s="26">
        <f>ENERO!E33+FEBRERO!E33+MARZO!E33+ABRIL!E33+MAYO!E33+JUNIO!E33+JULIO!E33+AGOSTO!E33+SEPTIEMBRE!E33+OCTUBRE!E33+NOVIEMBRE!E33+DICIEMBRE!E33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24">
        <f>ENERO!C34+FEBRERO!C34+MARZO!C34+ABRIL!C34+MAYO!C34+JUNIO!C34+JULIO!C34+AGOSTO!C34+SEPTIEMBRE!C34+OCTUBRE!C34+NOVIEMBRE!C34+DICIEMBRE!C34</f>
        <v>0</v>
      </c>
      <c r="D34" s="25">
        <f>+[1]BS17A!$U792</f>
        <v>2400</v>
      </c>
      <c r="E34" s="26">
        <f>ENERO!E34+FEBRERO!E34+MARZO!E34+ABRIL!E34+MAYO!E34+JUNIO!E34+JULIO!E34+AGOSTO!E34+SEPTIEMBRE!E34+OCTUBRE!E34+NOVIEMBRE!E34+DICIEMBRE!E34</f>
        <v>0</v>
      </c>
      <c r="F34" s="8"/>
    </row>
    <row r="35" spans="1:6" ht="15" customHeight="1" x14ac:dyDescent="0.2">
      <c r="A35" s="22" t="s">
        <v>55</v>
      </c>
      <c r="B35" s="34" t="s">
        <v>56</v>
      </c>
      <c r="C35" s="24">
        <f>ENERO!C35+FEBRERO!C35+MARZO!C35+ABRIL!C35+MAYO!C35+JUNIO!C35+JULIO!C35+AGOSTO!C35+SEPTIEMBRE!C35+OCTUBRE!C35+NOVIEMBRE!C35+DICIEMBRE!C35</f>
        <v>7373</v>
      </c>
      <c r="D35" s="25">
        <f>+[1]BS17A!$U793</f>
        <v>2400</v>
      </c>
      <c r="E35" s="26">
        <f>ENERO!E35+FEBRERO!E35+MARZO!E35+ABRIL!E35+MAYO!E35+JUNIO!E35+JULIO!E35+AGOSTO!E35+SEPTIEMBRE!E35+OCTUBRE!E35+NOVIEMBRE!E35+DICIEMBRE!E35</f>
        <v>18064240</v>
      </c>
      <c r="F35" s="8"/>
    </row>
    <row r="36" spans="1:6" ht="15" customHeight="1" x14ac:dyDescent="0.2">
      <c r="A36" s="22" t="s">
        <v>57</v>
      </c>
      <c r="B36" s="34" t="s">
        <v>58</v>
      </c>
      <c r="C36" s="24">
        <f>ENERO!C36+FEBRERO!C36+MARZO!C36+ABRIL!C36+MAYO!C36+JUNIO!C36+JULIO!C36+AGOSTO!C36+SEPTIEMBRE!C36+OCTUBRE!C36+NOVIEMBRE!C36+DICIEMBRE!C36</f>
        <v>8</v>
      </c>
      <c r="D36" s="25">
        <f>+[1]BS17A!$U794</f>
        <v>9560</v>
      </c>
      <c r="E36" s="26">
        <f>ENERO!E36+FEBRERO!E36+MARZO!E36+ABRIL!E36+MAYO!E36+JUNIO!E36+JULIO!E36+AGOSTO!E36+SEPTIEMBRE!E36+OCTUBRE!E36+NOVIEMBRE!E36+DICIEMBRE!E36</f>
        <v>78400</v>
      </c>
      <c r="F36" s="8"/>
    </row>
    <row r="37" spans="1:6" ht="15" customHeight="1" x14ac:dyDescent="0.2">
      <c r="A37" s="29" t="s">
        <v>59</v>
      </c>
      <c r="B37" s="35" t="s">
        <v>60</v>
      </c>
      <c r="C37" s="31">
        <f>ENERO!C37+FEBRERO!C37+MARZO!C37+ABRIL!C37+MAYO!C37+JUNIO!C37+JULIO!C37+AGOSTO!C37+SEPTIEMBRE!C37+OCTUBRE!C37+NOVIEMBRE!C37+DICIEMBRE!C37</f>
        <v>171</v>
      </c>
      <c r="D37" s="32">
        <f>+[1]BS17A!$U795</f>
        <v>11200</v>
      </c>
      <c r="E37" s="33">
        <f>ENERO!E37+FEBRERO!E37+MARZO!E37+ABRIL!E37+MAYO!E37+JUNIO!E37+JULIO!E37+AGOSTO!E37+SEPTIEMBRE!E37+OCTUBRE!E37+NOVIEMBRE!E37+DICIEMBRE!E37</f>
        <v>1962930</v>
      </c>
      <c r="F37" s="8"/>
    </row>
    <row r="38" spans="1:6" ht="18" customHeight="1" x14ac:dyDescent="0.2">
      <c r="A38" s="251" t="s">
        <v>61</v>
      </c>
      <c r="B38" s="254"/>
      <c r="C38" s="254"/>
      <c r="D38" s="254"/>
      <c r="E38" s="255"/>
      <c r="F38" s="8"/>
    </row>
    <row r="39" spans="1:6" ht="15" customHeight="1" x14ac:dyDescent="0.2">
      <c r="A39" s="17" t="s">
        <v>62</v>
      </c>
      <c r="B39" s="36" t="s">
        <v>63</v>
      </c>
      <c r="C39" s="19">
        <f>ENERO!C39+FEBRERO!C39+MARZO!C39+ABRIL!C39+MAYO!C39+JUNIO!C39+JULIO!C39+AGOSTO!C39+SEPTIEMBRE!C39+OCTUBRE!C39+NOVIEMBRE!C39+DICIEMBRE!C39</f>
        <v>0</v>
      </c>
      <c r="D39" s="37">
        <f>+[1]BS17A!$U797</f>
        <v>2790</v>
      </c>
      <c r="E39" s="38">
        <f t="shared" ref="E39:E40" si="0">C40*D40</f>
        <v>0</v>
      </c>
      <c r="F39" s="8"/>
    </row>
    <row r="40" spans="1:6" ht="15" customHeight="1" x14ac:dyDescent="0.2">
      <c r="A40" s="29" t="s">
        <v>64</v>
      </c>
      <c r="B40" s="39" t="s">
        <v>65</v>
      </c>
      <c r="C40" s="31">
        <f>ENERO!C40+FEBRERO!C40+MARZO!C40+ABRIL!C40+MAYO!C40+JUNIO!C40+JULIO!C40+AGOSTO!C40+SEPTIEMBRE!C40+OCTUBRE!C40+NOVIEMBRE!C40+DICIEMBRE!C40</f>
        <v>0</v>
      </c>
      <c r="D40" s="40">
        <f>+[1]BS17A!$U798</f>
        <v>6550</v>
      </c>
      <c r="E40" s="41">
        <f t="shared" si="0"/>
        <v>0</v>
      </c>
      <c r="F40" s="8"/>
    </row>
    <row r="41" spans="1:6" ht="18" customHeight="1" x14ac:dyDescent="0.2">
      <c r="A41" s="251" t="s">
        <v>66</v>
      </c>
      <c r="B41" s="254"/>
      <c r="C41" s="254"/>
      <c r="D41" s="254"/>
      <c r="E41" s="255"/>
      <c r="F41" s="8"/>
    </row>
    <row r="42" spans="1:6" ht="15" customHeight="1" x14ac:dyDescent="0.2">
      <c r="A42" s="17" t="s">
        <v>67</v>
      </c>
      <c r="B42" s="42" t="s">
        <v>68</v>
      </c>
      <c r="C42" s="19">
        <f>ENERO!C42+FEBRERO!C42+MARZO!C42+ABRIL!C42+MAYO!C42+JUNIO!C42+JULIO!C42+AGOSTO!C42+SEPTIEMBRE!C42+OCTUBRE!C42+NOVIEMBRE!C42+DICIEMBRE!C42</f>
        <v>0</v>
      </c>
      <c r="D42" s="37">
        <f>+[1]BS17A!$U34</f>
        <v>3230</v>
      </c>
      <c r="E42" s="38">
        <f>ENERO!E42+FEBRERO!E42+MARZO!E42+ABRIL!E42+MAYO!E42+JUNIO!E42+JULIO!E42+AGOSTO!E42+SEPTIEMBRE!E42+OCTUBRE!E42+NOVIEMBRE!E42+DICIEMBRE!E42</f>
        <v>0</v>
      </c>
      <c r="F42" s="8"/>
    </row>
    <row r="43" spans="1:6" ht="15" customHeight="1" x14ac:dyDescent="0.2">
      <c r="A43" s="22" t="s">
        <v>69</v>
      </c>
      <c r="B43" s="23" t="s">
        <v>70</v>
      </c>
      <c r="C43" s="24">
        <f>ENERO!C43+FEBRERO!C43+MARZO!C43+ABRIL!C43+MAYO!C43+JUNIO!C43+JULIO!C43+AGOSTO!C43+SEPTIEMBRE!C43+OCTUBRE!C43+NOVIEMBRE!C43+DICIEMBRE!C43</f>
        <v>6618</v>
      </c>
      <c r="D43" s="25">
        <f>+[1]BS17A!$U35</f>
        <v>1780</v>
      </c>
      <c r="E43" s="26">
        <f>ENERO!E43+FEBRERO!E43+MARZO!E43+ABRIL!E43+MAYO!E43+JUNIO!E43+JULIO!E43+AGOSTO!E43+SEPTIEMBRE!E43+OCTUBRE!E43+NOVIEMBRE!E43+DICIEMBRE!E43</f>
        <v>12074520</v>
      </c>
      <c r="F43" s="8"/>
    </row>
    <row r="44" spans="1:6" ht="15" customHeight="1" x14ac:dyDescent="0.2">
      <c r="A44" s="22" t="s">
        <v>71</v>
      </c>
      <c r="B44" s="23" t="s">
        <v>72</v>
      </c>
      <c r="C44" s="24">
        <f>ENERO!C44+FEBRERO!C44+MARZO!C44+ABRIL!C44+MAYO!C44+JUNIO!C44+JULIO!C44+AGOSTO!C44+SEPTIEMBRE!C44+OCTUBRE!C44+NOVIEMBRE!C44+DICIEMBRE!C44</f>
        <v>25</v>
      </c>
      <c r="D44" s="25">
        <f>+[1]BS17A!$U36</f>
        <v>1780</v>
      </c>
      <c r="E44" s="26">
        <f>ENERO!E44+FEBRERO!E44+MARZO!E44+ABRIL!E44+MAYO!E44+JUNIO!E44+JULIO!E44+AGOSTO!E44+SEPTIEMBRE!E44+OCTUBRE!E44+NOVIEMBRE!E44+DICIEMBRE!E44</f>
        <v>45400</v>
      </c>
      <c r="F44" s="8"/>
    </row>
    <row r="45" spans="1:6" ht="15" customHeight="1" x14ac:dyDescent="0.2">
      <c r="A45" s="29" t="s">
        <v>73</v>
      </c>
      <c r="B45" s="43" t="s">
        <v>74</v>
      </c>
      <c r="C45" s="31">
        <f>ENERO!C45+FEBRERO!C45+MARZO!C45+ABRIL!C45+MAYO!C45+JUNIO!C45+JULIO!C45+AGOSTO!C45+SEPTIEMBRE!C45+OCTUBRE!C45+NOVIEMBRE!C45+DICIEMBRE!C45</f>
        <v>5532</v>
      </c>
      <c r="D45" s="40">
        <f>+[1]BS17A!$U37</f>
        <v>530</v>
      </c>
      <c r="E45" s="41">
        <f>ENERO!E45+FEBRERO!E45+MARZO!E45+ABRIL!E45+MAYO!E45+JUNIO!E45+JULIO!E45+AGOSTO!E45+SEPTIEMBRE!E45+OCTUBRE!E45+NOVIEMBRE!E45+DICIEMBRE!E45</f>
        <v>3002580</v>
      </c>
      <c r="F45" s="8"/>
    </row>
    <row r="46" spans="1:6" ht="18" customHeight="1" x14ac:dyDescent="0.2">
      <c r="A46" s="251" t="s">
        <v>75</v>
      </c>
      <c r="B46" s="254"/>
      <c r="C46" s="254"/>
      <c r="D46" s="254"/>
      <c r="E46" s="255"/>
      <c r="F46" s="8"/>
    </row>
    <row r="47" spans="1:6" ht="15" customHeight="1" x14ac:dyDescent="0.2">
      <c r="A47" s="17" t="s">
        <v>76</v>
      </c>
      <c r="B47" s="42" t="s">
        <v>77</v>
      </c>
      <c r="C47" s="19">
        <f>ENERO!C47+FEBRERO!C47+MARZO!C47+ABRIL!C47+MAYO!C47+JUNIO!C47+JULIO!C47+AGOSTO!C47+SEPTIEMBRE!C47+OCTUBRE!C47+NOVIEMBRE!C47+DICIEMBRE!C47</f>
        <v>198</v>
      </c>
      <c r="D47" s="37">
        <f>+[1]BS17A!$U39</f>
        <v>1540</v>
      </c>
      <c r="E47" s="38">
        <f>ENERO!E47+FEBRERO!E47+MARZO!E47+ABRIL!E47+MAYO!E47+JUNIO!E47+JULIO!E47+AGOSTO!E47+SEPTIEMBRE!E47+OCTUBRE!E47+NOVIEMBRE!E47+DICIEMBRE!E47</f>
        <v>311070</v>
      </c>
      <c r="F47" s="8"/>
    </row>
    <row r="48" spans="1:6" ht="15" customHeight="1" x14ac:dyDescent="0.2">
      <c r="A48" s="22" t="s">
        <v>78</v>
      </c>
      <c r="B48" s="23" t="s">
        <v>79</v>
      </c>
      <c r="C48" s="24">
        <f>ENERO!C48+FEBRERO!C48+MARZO!C48+ABRIL!C48+MAYO!C48+JUNIO!C48+JULIO!C48+AGOSTO!C48+SEPTIEMBRE!C48+OCTUBRE!C48+NOVIEMBRE!C48+DICIEMBRE!C48</f>
        <v>181</v>
      </c>
      <c r="D48" s="25">
        <f>+[1]BS17A!$U40</f>
        <v>1540</v>
      </c>
      <c r="E48" s="26">
        <f>ENERO!E48+FEBRERO!E48+MARZO!E48+ABRIL!E48+MAYO!E48+JUNIO!E48+JULIO!E48+AGOSTO!E48+SEPTIEMBRE!E48+OCTUBRE!E48+NOVIEMBRE!E48+DICIEMBRE!E48</f>
        <v>283890</v>
      </c>
      <c r="F48" s="8"/>
    </row>
    <row r="49" spans="1:7" ht="15" customHeight="1" x14ac:dyDescent="0.2">
      <c r="A49" s="29" t="s">
        <v>80</v>
      </c>
      <c r="B49" s="43" t="s">
        <v>81</v>
      </c>
      <c r="C49" s="31">
        <f>ENERO!C49+FEBRERO!C49+MARZO!C49+ABRIL!C49+MAYO!C49+JUNIO!C49+JULIO!C49+AGOSTO!C49+SEPTIEMBRE!C49+OCTUBRE!C49+NOVIEMBRE!C49+DICIEMBRE!C49</f>
        <v>0</v>
      </c>
      <c r="D49" s="40">
        <f>+[1]BS17A!$U41</f>
        <v>880</v>
      </c>
      <c r="E49" s="41">
        <f>ENERO!E49+FEBRERO!E49+MARZO!E49+ABRIL!E49+MAYO!E49+JUNIO!E49+JULIO!E49+AGOSTO!E49+SEPTIEMBRE!E49+OCTUBRE!E49+NOVIEMBRE!E49+DICIEMBRE!E49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204889</v>
      </c>
      <c r="D50" s="46"/>
      <c r="E50" s="47">
        <f>SUM(E14:E49)</f>
        <v>1414326200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251" t="s">
        <v>83</v>
      </c>
      <c r="B53" s="254"/>
      <c r="C53" s="254"/>
      <c r="D53" s="254"/>
      <c r="E53" s="255"/>
      <c r="F53" s="51"/>
      <c r="G53" s="52"/>
    </row>
    <row r="54" spans="1:7" ht="38.25" x14ac:dyDescent="0.2">
      <c r="A54" s="11" t="s">
        <v>8</v>
      </c>
      <c r="B54" s="11" t="s">
        <v>84</v>
      </c>
      <c r="C54" s="15" t="s">
        <v>10</v>
      </c>
      <c r="D54" s="53"/>
      <c r="E54" s="16" t="s">
        <v>12</v>
      </c>
      <c r="F54" s="8"/>
    </row>
    <row r="55" spans="1:7" ht="18" customHeight="1" x14ac:dyDescent="0.2">
      <c r="A55" s="141" t="s">
        <v>85</v>
      </c>
      <c r="B55" s="55" t="s">
        <v>86</v>
      </c>
      <c r="C55" s="56">
        <f>+[1]BS17!$D12</f>
        <v>44410</v>
      </c>
      <c r="D55" s="57"/>
      <c r="E55" s="58">
        <f>+E56+E57+E58+E59+E60+E61+E65+E66+E67</f>
        <v>717868320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ENERO!C56+FEBRERO!C56+MARZO!C56+ABRIL!C56+MAYO!C56+JUNIO!C56+JULIO!C56+AGOSTO!C56+SEPTIEMBRE!C56+OCTUBRE!C56+NOVIEMBRE!C56+DICIEMBRE!C56</f>
        <v>217509</v>
      </c>
      <c r="D56" s="61"/>
      <c r="E56" s="62">
        <f>ENERO!E56+FEBRERO!E56+MARZO!E56+ABRIL!E56+MAYO!E56+JUNIO!E56+JULIO!E56+AGOSTO!E56+SEPTIEMBRE!E56+OCTUBRE!E56+NOVIEMBRE!E56+DICIEMBRE!E56</f>
        <v>213715420</v>
      </c>
      <c r="F56" s="8"/>
    </row>
    <row r="57" spans="1:7" ht="15" customHeight="1" x14ac:dyDescent="0.2">
      <c r="A57" s="22" t="s">
        <v>89</v>
      </c>
      <c r="B57" s="28" t="s">
        <v>90</v>
      </c>
      <c r="C57" s="24">
        <f>ENERO!C57+FEBRERO!C57+MARZO!C57+ABRIL!C57+MAYO!C57+JUNIO!C57+JULIO!C57+AGOSTO!C57+SEPTIEMBRE!C57+OCTUBRE!C57+NOVIEMBRE!C57+DICIEMBRE!C57</f>
        <v>235558</v>
      </c>
      <c r="D57" s="63"/>
      <c r="E57" s="64">
        <f>ENERO!E57+FEBRERO!E57+MARZO!E57+ABRIL!E57+MAYO!E57+JUNIO!E57+JULIO!E57+AGOSTO!E57+SEPTIEMBRE!E57+OCTUBRE!E57+NOVIEMBRE!E57+DICIEMBRE!E57</f>
        <v>250395040</v>
      </c>
      <c r="F57" s="8"/>
    </row>
    <row r="58" spans="1:7" ht="15" customHeight="1" x14ac:dyDescent="0.2">
      <c r="A58" s="22" t="s">
        <v>91</v>
      </c>
      <c r="B58" s="28" t="s">
        <v>92</v>
      </c>
      <c r="C58" s="24">
        <f>ENERO!C58+FEBRERO!C58+MARZO!C58+ABRIL!C58+MAYO!C58+JUNIO!C58+JULIO!C58+AGOSTO!C58+SEPTIEMBRE!C58+OCTUBRE!C58+NOVIEMBRE!C58+DICIEMBRE!C58</f>
        <v>12879</v>
      </c>
      <c r="D58" s="63"/>
      <c r="E58" s="64">
        <f>ENERO!E58+FEBRERO!E58+MARZO!E58+ABRIL!E58+MAYO!E58+JUNIO!E58+JULIO!E58+AGOSTO!E58+SEPTIEMBRE!E58+OCTUBRE!E58+NOVIEMBRE!E58+DICIEMBRE!E58</f>
        <v>40776730</v>
      </c>
      <c r="F58" s="8"/>
    </row>
    <row r="59" spans="1:7" ht="15" customHeight="1" x14ac:dyDescent="0.2">
      <c r="A59" s="22" t="s">
        <v>93</v>
      </c>
      <c r="B59" s="28" t="s">
        <v>94</v>
      </c>
      <c r="C59" s="24">
        <f>ENERO!C59+FEBRERO!C59+MARZO!C59+ABRIL!C59+MAYO!C59+JUNIO!C59+JULIO!C59+AGOSTO!C59+SEPTIEMBRE!C59+OCTUBRE!C59+NOVIEMBRE!C59+DICIEMBRE!C59</f>
        <v>0</v>
      </c>
      <c r="D59" s="63"/>
      <c r="E59" s="64">
        <f>ENERO!E59+FEBRERO!E59+MARZO!E59+ABRIL!E59+MAYO!E59+JUNIO!E59+JULIO!E59+AGOSTO!E59+SEPTIEMBRE!E59+OCTUBRE!E59+NOVIEMBRE!E59+DICIEMBRE!E59</f>
        <v>0</v>
      </c>
      <c r="F59" s="8"/>
    </row>
    <row r="60" spans="1:7" ht="15" customHeight="1" x14ac:dyDescent="0.2">
      <c r="A60" s="65" t="s">
        <v>95</v>
      </c>
      <c r="B60" s="30" t="s">
        <v>96</v>
      </c>
      <c r="C60" s="66">
        <f>ENERO!C60+FEBRERO!C60+MARZO!C60+ABRIL!C60+MAYO!C60+JUNIO!C60+JULIO!C60+AGOSTO!C60+SEPTIEMBRE!C60+OCTUBRE!C60+NOVIEMBRE!C60+DICIEMBRE!C60</f>
        <v>13304</v>
      </c>
      <c r="D60" s="67"/>
      <c r="E60" s="68">
        <f>ENERO!E60+FEBRERO!E60+MARZO!E60+ABRIL!E60+MAYO!E60+JUNIO!E60+JULIO!E60+AGOSTO!E60+SEPTIEMBRE!E60+OCTUBRE!E60+NOVIEMBRE!E60+DICIEMBRE!E60</f>
        <v>55388790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ENERO!C61+FEBRERO!C61+MARZO!C61+ABRIL!C61+MAYO!C61+JUNIO!C61+JULIO!C61+AGOSTO!C61+SEPTIEMBRE!C61+OCTUBRE!C61+NOVIEMBRE!C61+DICIEMBRE!C61</f>
        <v>54561</v>
      </c>
      <c r="D61" s="71"/>
      <c r="E61" s="72">
        <f>ENERO!E61+FEBRERO!E61+MARZO!E61+ABRIL!E61+MAYO!E61+JUNIO!E61+JULIO!E61+AGOSTO!E61+SEPTIEMBRE!E61+OCTUBRE!E61+NOVIEMBRE!E61+DICIEMBRE!E61</f>
        <v>125008730</v>
      </c>
      <c r="F61" s="8"/>
    </row>
    <row r="62" spans="1:7" ht="15" customHeight="1" x14ac:dyDescent="0.2">
      <c r="A62" s="73"/>
      <c r="B62" s="42" t="s">
        <v>99</v>
      </c>
      <c r="C62" s="19">
        <f>ENERO!C62+FEBRERO!C62+MARZO!C62+ABRIL!C62+MAYO!C62+JUNIO!C62+JULIO!C62+AGOSTO!C62+SEPTIEMBRE!C62+OCTUBRE!C62+NOVIEMBRE!C62+DICIEMBRE!C62</f>
        <v>45980</v>
      </c>
      <c r="D62" s="74"/>
      <c r="E62" s="75">
        <f>ENERO!E62+FEBRERO!E62+MARZO!E62+ABRIL!E62+MAYO!E62+JUNIO!E62+JULIO!E62+AGOSTO!E62+SEPTIEMBRE!E62+OCTUBRE!E62+NOVIEMBRE!E62+DICIEMBRE!E62</f>
        <v>94483890</v>
      </c>
      <c r="F62" s="8"/>
    </row>
    <row r="63" spans="1:7" ht="15" customHeight="1" x14ac:dyDescent="0.2">
      <c r="A63" s="73"/>
      <c r="B63" s="28" t="s">
        <v>100</v>
      </c>
      <c r="C63" s="24">
        <f>ENERO!C63+FEBRERO!C63+MARZO!C63+ABRIL!C63+MAYO!C63+JUNIO!C63+JULIO!C63+AGOSTO!C63+SEPTIEMBRE!C63+OCTUBRE!C63+NOVIEMBRE!C63+DICIEMBRE!C63</f>
        <v>1086</v>
      </c>
      <c r="D63" s="63"/>
      <c r="E63" s="64">
        <f>ENERO!E63+FEBRERO!E63+MARZO!E63+ABRIL!E63+MAYO!E63+JUNIO!E63+JULIO!E63+AGOSTO!E63+SEPTIEMBRE!E63+OCTUBRE!E63+NOVIEMBRE!E63+DICIEMBRE!E63</f>
        <v>2593370</v>
      </c>
      <c r="F63" s="8"/>
    </row>
    <row r="64" spans="1:7" ht="15" customHeight="1" x14ac:dyDescent="0.2">
      <c r="A64" s="76"/>
      <c r="B64" s="43" t="s">
        <v>101</v>
      </c>
      <c r="C64" s="31">
        <f>ENERO!C64+FEBRERO!C64+MARZO!C64+ABRIL!C64+MAYO!C64+JUNIO!C64+JULIO!C64+AGOSTO!C64+SEPTIEMBRE!C64+OCTUBRE!C64+NOVIEMBRE!C64+DICIEMBRE!C64</f>
        <v>7495</v>
      </c>
      <c r="D64" s="77"/>
      <c r="E64" s="78">
        <f>ENERO!E64+FEBRERO!E64+MARZO!E64+ABRIL!E64+MAYO!E64+JUNIO!E64+JULIO!E64+AGOSTO!E64+SEPTIEMBRE!E64+OCTUBRE!E64+NOVIEMBRE!E64+DICIEMBRE!E64</f>
        <v>27931470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ENERO!C65+FEBRERO!C65+MARZO!C65+ABRIL!C65+MAYO!C65+JUNIO!C65+JULIO!C65+AGOSTO!C65+SEPTIEMBRE!C65+OCTUBRE!C65+NOVIEMBRE!C65+DICIEMBRE!C65</f>
        <v>0</v>
      </c>
      <c r="D65" s="61"/>
      <c r="E65" s="62">
        <f>ENERO!E65+FEBRERO!E65+MARZO!E65+ABRIL!E65+MAYO!E65+JUNIO!E65+JULIO!E65+AGOSTO!E65+SEPTIEMBRE!E65+OCTUBRE!E65+NOVIEMBRE!E65+DICIEMBRE!E65</f>
        <v>0</v>
      </c>
      <c r="F65" s="8"/>
    </row>
    <row r="66" spans="1:7" ht="15" customHeight="1" x14ac:dyDescent="0.2">
      <c r="A66" s="22" t="s">
        <v>104</v>
      </c>
      <c r="B66" s="28" t="s">
        <v>105</v>
      </c>
      <c r="C66" s="24">
        <f>ENERO!C66+FEBRERO!C66+MARZO!C66+ABRIL!C66+MAYO!C66+JUNIO!C66+JULIO!C66+AGOSTO!C66+SEPTIEMBRE!C66+OCTUBRE!C66+NOVIEMBRE!C66+DICIEMBRE!C66</f>
        <v>683</v>
      </c>
      <c r="D66" s="63"/>
      <c r="E66" s="64">
        <f>ENERO!E66+FEBRERO!E66+MARZO!E66+ABRIL!E66+MAYO!E66+JUNIO!E66+JULIO!E66+AGOSTO!E66+SEPTIEMBRE!E66+OCTUBRE!E66+NOVIEMBRE!E66+DICIEMBRE!E66</f>
        <v>1176850</v>
      </c>
      <c r="F66" s="8"/>
    </row>
    <row r="67" spans="1:7" ht="15" customHeight="1" x14ac:dyDescent="0.2">
      <c r="A67" s="65" t="s">
        <v>106</v>
      </c>
      <c r="B67" s="30" t="s">
        <v>107</v>
      </c>
      <c r="C67" s="66">
        <f>ENERO!C67+FEBRERO!C67+MARZO!C67+ABRIL!C67+MAYO!C67+JUNIO!C67+JULIO!C67+AGOSTO!C67+SEPTIEMBRE!C67+OCTUBRE!C67+NOVIEMBRE!C67+DICIEMBRE!C67</f>
        <v>28752</v>
      </c>
      <c r="D67" s="67"/>
      <c r="E67" s="68">
        <f>ENERO!E67+FEBRERO!E67+MARZO!E67+ABRIL!E67+MAYO!E67+JUNIO!E67+JULIO!E67+AGOSTO!E67+SEPTIEMBRE!E67+OCTUBRE!E67+NOVIEMBRE!E67+DICIEMBRE!E67</f>
        <v>31406760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ENERO!C68+FEBRERO!C68+MARZO!C68+ABRIL!C68+MAYO!C68+JUNIO!C68+JULIO!C68+AGOSTO!C68+SEPTIEMBRE!C68+OCTUBRE!C68+NOVIEMBRE!C68+DICIEMBRE!C68</f>
        <v>48495</v>
      </c>
      <c r="D68" s="83"/>
      <c r="E68" s="84">
        <f>ENERO!E68+FEBRERO!E68+MARZO!E68+ABRIL!E68+MAYO!E68+JUNIO!E68+JULIO!E68+AGOSTO!E68+SEPTIEMBRE!E68+OCTUBRE!E68+NOVIEMBRE!E68+DICIEMBRE!E68</f>
        <v>613663340</v>
      </c>
      <c r="F68" s="8"/>
    </row>
    <row r="69" spans="1:7" ht="15" customHeight="1" x14ac:dyDescent="0.2">
      <c r="A69" s="22" t="s">
        <v>110</v>
      </c>
      <c r="B69" s="28" t="s">
        <v>111</v>
      </c>
      <c r="C69" s="24">
        <f>ENERO!C69+FEBRERO!C69+MARZO!C69+ABRIL!C69+MAYO!C69+JUNIO!C69+JULIO!C69+AGOSTO!C69+SEPTIEMBRE!C69+OCTUBRE!C69+NOVIEMBRE!C69+DICIEMBRE!C69</f>
        <v>31368</v>
      </c>
      <c r="D69" s="63"/>
      <c r="E69" s="64">
        <f>ENERO!E69+FEBRERO!E69+MARZO!E69+ABRIL!E69+MAYO!E69+JUNIO!E69+JULIO!E69+AGOSTO!E69+SEPTIEMBRE!E69+OCTUBRE!E69+NOVIEMBRE!E69+DICIEMBRE!E69</f>
        <v>225716470</v>
      </c>
      <c r="F69" s="8"/>
    </row>
    <row r="70" spans="1:7" ht="15" customHeight="1" x14ac:dyDescent="0.2">
      <c r="A70" s="22" t="s">
        <v>112</v>
      </c>
      <c r="B70" s="28" t="s">
        <v>113</v>
      </c>
      <c r="C70" s="24">
        <f>ENERO!C70+FEBRERO!C70+MARZO!C70+ABRIL!C70+MAYO!C70+JUNIO!C70+JULIO!C70+AGOSTO!C70+SEPTIEMBRE!C70+OCTUBRE!C70+NOVIEMBRE!C70+DICIEMBRE!C70</f>
        <v>27</v>
      </c>
      <c r="D70" s="63"/>
      <c r="E70" s="64">
        <f>ENERO!E70+FEBRERO!E70+MARZO!E70+ABRIL!E70+MAYO!E70+JUNIO!E70+JULIO!E70+AGOSTO!E70+SEPTIEMBRE!E70+OCTUBRE!E70+NOVIEMBRE!E70+DICIEMBRE!E70</f>
        <v>529110</v>
      </c>
      <c r="F70" s="8"/>
    </row>
    <row r="71" spans="1:7" ht="15" customHeight="1" x14ac:dyDescent="0.2">
      <c r="A71" s="22" t="s">
        <v>114</v>
      </c>
      <c r="B71" s="28" t="s">
        <v>115</v>
      </c>
      <c r="C71" s="24">
        <f>ENERO!C71+FEBRERO!C71+MARZO!C71+ABRIL!C71+MAYO!C71+JUNIO!C71+JULIO!C71+AGOSTO!C71+SEPTIEMBRE!C71+OCTUBRE!C71+NOVIEMBRE!C71+DICIEMBRE!C71</f>
        <v>4694</v>
      </c>
      <c r="D71" s="63"/>
      <c r="E71" s="64">
        <f>ENERO!E71+FEBRERO!E71+MARZO!E71+ABRIL!E71+MAYO!E71+JUNIO!E71+JULIO!E71+AGOSTO!E71+SEPTIEMBRE!E71+OCTUBRE!E71+NOVIEMBRE!E71+DICIEMBRE!E71</f>
        <v>219202580</v>
      </c>
      <c r="F71" s="8"/>
    </row>
    <row r="72" spans="1:7" ht="15" customHeight="1" x14ac:dyDescent="0.2">
      <c r="A72" s="22" t="s">
        <v>116</v>
      </c>
      <c r="B72" s="28" t="s">
        <v>117</v>
      </c>
      <c r="C72" s="24">
        <f>ENERO!C72+FEBRERO!C72+MARZO!C72+ABRIL!C72+MAYO!C72+JUNIO!C72+JULIO!C72+AGOSTO!C72+SEPTIEMBRE!C72+OCTUBRE!C72+NOVIEMBRE!C72+DICIEMBRE!C72</f>
        <v>12406</v>
      </c>
      <c r="D72" s="63"/>
      <c r="E72" s="64">
        <f>ENERO!E72+FEBRERO!E72+MARZO!E72+ABRIL!E72+MAYO!E72+JUNIO!E72+JULIO!E72+AGOSTO!E72+SEPTIEMBRE!E72+OCTUBRE!E72+NOVIEMBRE!E72+DICIEMBRE!E72</f>
        <v>168215180</v>
      </c>
      <c r="F72" s="8"/>
    </row>
    <row r="73" spans="1:7" ht="15" customHeight="1" x14ac:dyDescent="0.2">
      <c r="A73" s="85"/>
      <c r="B73" s="28" t="s">
        <v>118</v>
      </c>
      <c r="C73" s="24">
        <f>ENERO!C73+FEBRERO!C73+MARZO!C73+ABRIL!C73+MAYO!C73+JUNIO!C73+JULIO!C73+AGOSTO!C73+SEPTIEMBRE!C73+OCTUBRE!C73+NOVIEMBRE!C73+DICIEMBRE!C73</f>
        <v>0</v>
      </c>
      <c r="D73" s="63"/>
      <c r="E73" s="64">
        <f>ENERO!E73+FEBRERO!E73+MARZO!E73+ABRIL!E73+MAYO!E73+JUNIO!E73+JULIO!E73+AGOSTO!E73+SEPTIEMBRE!E73+OCTUBRE!E73+NOVIEMBRE!E73+DICIEMBRE!E73</f>
        <v>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ENERO!C74+FEBRERO!C74+MARZO!C74+ABRIL!C74+MAYO!C74+JUNIO!C74+JULIO!C74+AGOSTO!C74+SEPTIEMBRE!C74+OCTUBRE!C74+NOVIEMBRE!C74+DICIEMBRE!C74</f>
        <v>0</v>
      </c>
      <c r="D74" s="89"/>
      <c r="E74" s="90">
        <f>ENERO!E74+FEBRERO!E74+MARZO!E74+ABRIL!E74+MAYO!E74+JUNIO!E74+JULIO!E74+AGOSTO!E74+SEPTIEMBRE!E74+OCTUBRE!E74+NOVIEMBRE!E74+DICIEMBRE!E74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ENERO!C75+FEBRERO!C75+MARZO!C75+ABRIL!C75+MAYO!C75+JUNIO!C75+JULIO!C75+AGOSTO!C75+SEPTIEMBRE!C75+OCTUBRE!C75+NOVIEMBRE!C75+DICIEMBRE!C75</f>
        <v>0</v>
      </c>
      <c r="D75" s="94"/>
      <c r="E75" s="95">
        <f>ENERO!E75+FEBRERO!E75+MARZO!E75+ABRIL!E75+MAYO!E75+JUNIO!E75+JULIO!E75+AGOSTO!E75+SEPTIEMBRE!E75+OCTUBRE!E75+NOVIEMBRE!E75+DICIEMBRE!E75</f>
        <v>0</v>
      </c>
      <c r="F75" s="8"/>
    </row>
    <row r="76" spans="1:7" ht="15" customHeight="1" x14ac:dyDescent="0.2">
      <c r="A76" s="96"/>
      <c r="B76" s="216" t="s">
        <v>123</v>
      </c>
      <c r="C76" s="56">
        <f>+C55+C68+C75</f>
        <v>92905</v>
      </c>
      <c r="D76" s="57"/>
      <c r="E76" s="98">
        <f>+E55+E68+E75</f>
        <v>1331531660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256" t="s">
        <v>124</v>
      </c>
      <c r="B79" s="252"/>
      <c r="C79" s="252"/>
      <c r="D79" s="252"/>
      <c r="E79" s="253"/>
      <c r="F79" s="51"/>
      <c r="G79" s="52"/>
    </row>
    <row r="80" spans="1:7" ht="38.25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19">
        <f>ENERO!C81+FEBRERO!C81+MARZO!C81+ABRIL!C81+MAYO!C81+JUNIO!C81+JULIO!C81+AGOSTO!C81+SEPTIEMBRE!C81+OCTUBRE!C81+NOVIEMBRE!C81+DICIEMBRE!C81</f>
        <v>0</v>
      </c>
      <c r="D81" s="61"/>
      <c r="E81" s="103">
        <f>ENERO!E81+FEBRERO!E81+MARZO!E81+ABRIL!E81+MAYO!E81+JUNIO!E81+JULIO!E81+AGOSTO!E81+SEPTIEMBRE!E81+OCTUBRE!E81+NOVIEMBRE!E81+DICIEMBRE!E81</f>
        <v>0</v>
      </c>
      <c r="F81" s="8"/>
    </row>
    <row r="82" spans="1:6" ht="15" customHeight="1" x14ac:dyDescent="0.2">
      <c r="A82" s="104">
        <v>2001</v>
      </c>
      <c r="B82" s="28" t="s">
        <v>127</v>
      </c>
      <c r="C82" s="24">
        <f>ENERO!C82+FEBRERO!C82+MARZO!C82+ABRIL!C82+MAYO!C82+JUNIO!C82+JULIO!C82+AGOSTO!C82+SEPTIEMBRE!C82+OCTUBRE!C82+NOVIEMBRE!C82+DICIEMBRE!C82</f>
        <v>15804</v>
      </c>
      <c r="D82" s="63"/>
      <c r="E82" s="105">
        <f>ENERO!E82+FEBRERO!E82+MARZO!E82+ABRIL!E82+MAYO!E82+JUNIO!E82+JULIO!E82+AGOSTO!E82+SEPTIEMBRE!E82+OCTUBRE!E82+NOVIEMBRE!E82+DICIEMBRE!E82</f>
        <v>119131070</v>
      </c>
      <c r="F82" s="8"/>
    </row>
    <row r="83" spans="1:6" ht="15" customHeight="1" x14ac:dyDescent="0.2">
      <c r="A83" s="65" t="s">
        <v>128</v>
      </c>
      <c r="B83" s="30" t="s">
        <v>129</v>
      </c>
      <c r="C83" s="66">
        <f>ENERO!C83+FEBRERO!C83+MARZO!C83+ABRIL!C83+MAYO!C83+JUNIO!C83+JULIO!C83+AGOSTO!C83+SEPTIEMBRE!C83+OCTUBRE!C83+NOVIEMBRE!C83+DICIEMBRE!C83</f>
        <v>310</v>
      </c>
      <c r="D83" s="67"/>
      <c r="E83" s="106">
        <f>ENERO!E83+FEBRERO!E83+MARZO!E83+ABRIL!E83+MAYO!E83+JUNIO!E83+JULIO!E83+AGOSTO!E83+SEPTIEMBRE!E83+OCTUBRE!E83+NOVIEMBRE!E83+DICIEMBRE!E83</f>
        <v>19733370</v>
      </c>
      <c r="F83" s="8"/>
    </row>
    <row r="84" spans="1:6" ht="17.25" customHeight="1" x14ac:dyDescent="0.2">
      <c r="A84" s="96"/>
      <c r="B84" s="216" t="s">
        <v>130</v>
      </c>
      <c r="C84" s="56">
        <f>+SUM(C81:C83)</f>
        <v>16114</v>
      </c>
      <c r="D84" s="57"/>
      <c r="E84" s="107">
        <f>SUM(E81:E83)</f>
        <v>138864440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239" t="s">
        <v>131</v>
      </c>
      <c r="B87" s="240"/>
      <c r="C87" s="240"/>
      <c r="D87" s="240"/>
      <c r="E87" s="240"/>
      <c r="F87" s="241"/>
    </row>
    <row r="88" spans="1:6" ht="33.75" customHeight="1" x14ac:dyDescent="0.15">
      <c r="A88" s="260" t="s">
        <v>8</v>
      </c>
      <c r="B88" s="260" t="s">
        <v>9</v>
      </c>
      <c r="C88" s="242" t="s">
        <v>10</v>
      </c>
      <c r="D88" s="243"/>
      <c r="E88" s="243"/>
      <c r="F88" s="244"/>
    </row>
    <row r="89" spans="1:6" ht="35.25" customHeight="1" x14ac:dyDescent="0.15">
      <c r="A89" s="261"/>
      <c r="B89" s="261"/>
      <c r="C89" s="99" t="s">
        <v>132</v>
      </c>
      <c r="D89" s="108" t="s">
        <v>133</v>
      </c>
      <c r="E89" s="13" t="s">
        <v>134</v>
      </c>
      <c r="F89" s="16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ENERO!C90+FEBRERO!C90+MARZO!C90+ABRIL!C90+MAYO!C90+JUNIO!C90+JULIO!C90+AGOSTO!C90+SEPTIEMBRE!C90+OCTUBRE!C90+NOVIEMBRE!C90+DICIEMBRE!C90</f>
        <v>0</v>
      </c>
      <c r="D90" s="110">
        <f>ENERO!D90+FEBRERO!D90+MARZO!D90+ABRIL!D90+MAYO!D90+JUNIO!D90+JULIO!D90+AGOSTO!D90+SEPTIEMBRE!D90+OCTUBRE!D90+NOVIEMBRE!D90+DICIEMBRE!D90</f>
        <v>0</v>
      </c>
      <c r="E90" s="111">
        <f>ENERO!E90+FEBRERO!E90+MARZO!E90+ABRIL!E90+MAYO!E90+JUNIO!E90+JULIO!E90+AGOSTO!E90+SEPTIEMBRE!E90+OCTUBRE!E90+NOVIEMBRE!E90+DICIEMBRE!E90</f>
        <v>0</v>
      </c>
      <c r="F90" s="112">
        <f>ENERO!F90+FEBRERO!F90+MARZO!F90+ABRIL!F90+MAYO!F90+JUNIO!F90+JULIO!F90+AGOSTO!F90+SEPTIEMBRE!F90+OCTUBRE!F90+NOVIEMBRE!F90+DICIEMBRE!F90</f>
        <v>0</v>
      </c>
    </row>
    <row r="91" spans="1:6" ht="15" customHeight="1" x14ac:dyDescent="0.2">
      <c r="A91" s="22" t="s">
        <v>137</v>
      </c>
      <c r="B91" s="28" t="s">
        <v>138</v>
      </c>
      <c r="C91" s="113">
        <f>ENERO!C91+FEBRERO!C91+MARZO!C91+ABRIL!C91+MAYO!C91+JUNIO!C91+JULIO!C91+AGOSTO!C91+SEPTIEMBRE!C91+OCTUBRE!C91+NOVIEMBRE!C91+DICIEMBRE!C91</f>
        <v>1193</v>
      </c>
      <c r="D91" s="114">
        <f>ENERO!D91+FEBRERO!D91+MARZO!D91+ABRIL!D91+MAYO!D91+JUNIO!D91+JULIO!D91+AGOSTO!D91+SEPTIEMBRE!D91+OCTUBRE!D91+NOVIEMBRE!D91+DICIEMBRE!D91</f>
        <v>0</v>
      </c>
      <c r="E91" s="115">
        <f>ENERO!E91+FEBRERO!E91+MARZO!E91+ABRIL!E91+MAYO!E91+JUNIO!E91+JULIO!E91+AGOSTO!E91+SEPTIEMBRE!E91+OCTUBRE!E91+NOVIEMBRE!E91+DICIEMBRE!E91</f>
        <v>0</v>
      </c>
      <c r="F91" s="116">
        <f>ENERO!F91+FEBRERO!F91+MARZO!F91+ABRIL!F91+MAYO!F91+JUNIO!F91+JULIO!F91+AGOSTO!F91+SEPTIEMBRE!F91+OCTUBRE!F91+NOVIEMBRE!F91+DICIEMBRE!F91</f>
        <v>444219290</v>
      </c>
    </row>
    <row r="92" spans="1:6" ht="15" customHeight="1" x14ac:dyDescent="0.2">
      <c r="A92" s="22" t="s">
        <v>139</v>
      </c>
      <c r="B92" s="28" t="s">
        <v>140</v>
      </c>
      <c r="C92" s="113">
        <f>ENERO!C92+FEBRERO!C92+MARZO!C92+ABRIL!C92+MAYO!C92+JUNIO!C92+JULIO!C92+AGOSTO!C92+SEPTIEMBRE!C92+OCTUBRE!C92+NOVIEMBRE!C92+DICIEMBRE!C92</f>
        <v>166</v>
      </c>
      <c r="D92" s="114">
        <f>ENERO!D92+FEBRERO!D92+MARZO!D92+ABRIL!D92+MAYO!D92+JUNIO!D92+JULIO!D92+AGOSTO!D92+SEPTIEMBRE!D92+OCTUBRE!D92+NOVIEMBRE!D92+DICIEMBRE!D92</f>
        <v>7</v>
      </c>
      <c r="E92" s="115">
        <f>ENERO!E92+FEBRERO!E92+MARZO!E92+ABRIL!E92+MAYO!E92+JUNIO!E92+JULIO!E92+AGOSTO!E92+SEPTIEMBRE!E92+OCTUBRE!E92+NOVIEMBRE!E92+DICIEMBRE!E92</f>
        <v>0</v>
      </c>
      <c r="F92" s="116">
        <f>ENERO!F92+FEBRERO!F92+MARZO!F92+ABRIL!F92+MAYO!F92+JUNIO!F92+JULIO!F92+AGOSTO!F92+SEPTIEMBRE!F92+OCTUBRE!F92+NOVIEMBRE!F92+DICIEMBRE!F92</f>
        <v>13113330</v>
      </c>
    </row>
    <row r="93" spans="1:6" ht="15" customHeight="1" x14ac:dyDescent="0.2">
      <c r="A93" s="22" t="s">
        <v>141</v>
      </c>
      <c r="B93" s="28" t="s">
        <v>142</v>
      </c>
      <c r="C93" s="113">
        <f>ENERO!C93+FEBRERO!C93+MARZO!C93+ABRIL!C93+MAYO!C93+JUNIO!C93+JULIO!C93+AGOSTO!C93+SEPTIEMBRE!C93+OCTUBRE!C93+NOVIEMBRE!C93+DICIEMBRE!C93</f>
        <v>45</v>
      </c>
      <c r="D93" s="114">
        <f>ENERO!D93+FEBRERO!D93+MARZO!D93+ABRIL!D93+MAYO!D93+JUNIO!D93+JULIO!D93+AGOSTO!D93+SEPTIEMBRE!D93+OCTUBRE!D93+NOVIEMBRE!D93+DICIEMBRE!D93</f>
        <v>4</v>
      </c>
      <c r="E93" s="115">
        <f>ENERO!E93+FEBRERO!E93+MARZO!E93+ABRIL!E93+MAYO!E93+JUNIO!E93+JULIO!E93+AGOSTO!E93+SEPTIEMBRE!E93+OCTUBRE!E93+NOVIEMBRE!E93+DICIEMBRE!E93</f>
        <v>0</v>
      </c>
      <c r="F93" s="116">
        <f>ENERO!F93+FEBRERO!F93+MARZO!F93+ABRIL!F93+MAYO!F93+JUNIO!F93+JULIO!F93+AGOSTO!F93+SEPTIEMBRE!F93+OCTUBRE!F93+NOVIEMBRE!F93+DICIEMBRE!F93</f>
        <v>4299340</v>
      </c>
    </row>
    <row r="94" spans="1:6" ht="15" customHeight="1" x14ac:dyDescent="0.2">
      <c r="A94" s="22" t="s">
        <v>143</v>
      </c>
      <c r="B94" s="28" t="s">
        <v>144</v>
      </c>
      <c r="C94" s="113">
        <f>ENERO!C94+FEBRERO!C94+MARZO!C94+ABRIL!C94+MAYO!C94+JUNIO!C94+JULIO!C94+AGOSTO!C94+SEPTIEMBRE!C94+OCTUBRE!C94+NOVIEMBRE!C94+DICIEMBRE!C94</f>
        <v>1133</v>
      </c>
      <c r="D94" s="114">
        <f>ENERO!D94+FEBRERO!D94+MARZO!D94+ABRIL!D94+MAYO!D94+JUNIO!D94+JULIO!D94+AGOSTO!D94+SEPTIEMBRE!D94+OCTUBRE!D94+NOVIEMBRE!D94+DICIEMBRE!D94</f>
        <v>25</v>
      </c>
      <c r="E94" s="115">
        <f>ENERO!E94+FEBRERO!E94+MARZO!E94+ABRIL!E94+MAYO!E94+JUNIO!E94+JULIO!E94+AGOSTO!E94+SEPTIEMBRE!E94+OCTUBRE!E94+NOVIEMBRE!E94+DICIEMBRE!E94</f>
        <v>0</v>
      </c>
      <c r="F94" s="116">
        <f>ENERO!F94+FEBRERO!F94+MARZO!F94+ABRIL!F94+MAYO!F94+JUNIO!F94+JULIO!F94+AGOSTO!F94+SEPTIEMBRE!F94+OCTUBRE!F94+NOVIEMBRE!F94+DICIEMBRE!F94</f>
        <v>58067825</v>
      </c>
    </row>
    <row r="95" spans="1:6" ht="15" customHeight="1" x14ac:dyDescent="0.2">
      <c r="A95" s="22" t="s">
        <v>145</v>
      </c>
      <c r="B95" s="28" t="s">
        <v>146</v>
      </c>
      <c r="C95" s="113">
        <f>ENERO!C95+FEBRERO!C95+MARZO!C95+ABRIL!C95+MAYO!C95+JUNIO!C95+JULIO!C95+AGOSTO!C95+SEPTIEMBRE!C95+OCTUBRE!C95+NOVIEMBRE!C95+DICIEMBRE!C95</f>
        <v>1505</v>
      </c>
      <c r="D95" s="114">
        <f>ENERO!D95+FEBRERO!D95+MARZO!D95+ABRIL!D95+MAYO!D95+JUNIO!D95+JULIO!D95+AGOSTO!D95+SEPTIEMBRE!D95+OCTUBRE!D95+NOVIEMBRE!D95+DICIEMBRE!D95</f>
        <v>19</v>
      </c>
      <c r="E95" s="115">
        <f>ENERO!E95+FEBRERO!E95+MARZO!E95+ABRIL!E95+MAYO!E95+JUNIO!E95+JULIO!E95+AGOSTO!E95+SEPTIEMBRE!E95+OCTUBRE!E95+NOVIEMBRE!E95+DICIEMBRE!E95</f>
        <v>0</v>
      </c>
      <c r="F95" s="116">
        <f>ENERO!F95+FEBRERO!F95+MARZO!F95+ABRIL!F95+MAYO!F95+JUNIO!F95+JULIO!F95+AGOSTO!F95+SEPTIEMBRE!F95+OCTUBRE!F95+NOVIEMBRE!F95+DICIEMBRE!F95</f>
        <v>36327525</v>
      </c>
    </row>
    <row r="96" spans="1:6" ht="15" customHeight="1" x14ac:dyDescent="0.2">
      <c r="A96" s="22" t="s">
        <v>147</v>
      </c>
      <c r="B96" s="28" t="s">
        <v>148</v>
      </c>
      <c r="C96" s="113">
        <f>ENERO!C96+FEBRERO!C96+MARZO!C96+ABRIL!C96+MAYO!C96+JUNIO!C96+JULIO!C96+AGOSTO!C96+SEPTIEMBRE!C96+OCTUBRE!C96+NOVIEMBRE!C96+DICIEMBRE!C96</f>
        <v>25</v>
      </c>
      <c r="D96" s="114">
        <f>ENERO!D96+FEBRERO!D96+MARZO!D96+ABRIL!D96+MAYO!D96+JUNIO!D96+JULIO!D96+AGOSTO!D96+SEPTIEMBRE!D96+OCTUBRE!D96+NOVIEMBRE!D96+DICIEMBRE!D96</f>
        <v>2</v>
      </c>
      <c r="E96" s="115">
        <f>ENERO!E96+FEBRERO!E96+MARZO!E96+ABRIL!E96+MAYO!E96+JUNIO!E96+JULIO!E96+AGOSTO!E96+SEPTIEMBRE!E96+OCTUBRE!E96+NOVIEMBRE!E96+DICIEMBRE!E96</f>
        <v>0</v>
      </c>
      <c r="F96" s="116">
        <f>ENERO!F96+FEBRERO!F96+MARZO!F96+ABRIL!F96+MAYO!F96+JUNIO!F96+JULIO!F96+AGOSTO!F96+SEPTIEMBRE!F96+OCTUBRE!F96+NOVIEMBRE!F96+DICIEMBRE!F96</f>
        <v>3855795</v>
      </c>
    </row>
    <row r="97" spans="1:6" ht="15" customHeight="1" x14ac:dyDescent="0.2">
      <c r="A97" s="22" t="s">
        <v>149</v>
      </c>
      <c r="B97" s="28" t="s">
        <v>150</v>
      </c>
      <c r="C97" s="113">
        <f>ENERO!C97+FEBRERO!C97+MARZO!C97+ABRIL!C97+MAYO!C97+JUNIO!C97+JULIO!C97+AGOSTO!C97+SEPTIEMBRE!C97+OCTUBRE!C97+NOVIEMBRE!C97+DICIEMBRE!C97</f>
        <v>36</v>
      </c>
      <c r="D97" s="114">
        <f>ENERO!D97+FEBRERO!D97+MARZO!D97+ABRIL!D97+MAYO!D97+JUNIO!D97+JULIO!D97+AGOSTO!D97+SEPTIEMBRE!D97+OCTUBRE!D97+NOVIEMBRE!D97+DICIEMBRE!D97</f>
        <v>4</v>
      </c>
      <c r="E97" s="115">
        <f>ENERO!E97+FEBRERO!E97+MARZO!E97+ABRIL!E97+MAYO!E97+JUNIO!E97+JULIO!E97+AGOSTO!E97+SEPTIEMBRE!E97+OCTUBRE!E97+NOVIEMBRE!E97+DICIEMBRE!E97</f>
        <v>0</v>
      </c>
      <c r="F97" s="116">
        <f>ENERO!F97+FEBRERO!F97+MARZO!F97+ABRIL!F97+MAYO!F97+JUNIO!F97+JULIO!F97+AGOSTO!F97+SEPTIEMBRE!F97+OCTUBRE!F97+NOVIEMBRE!F97+DICIEMBRE!F97</f>
        <v>3821485</v>
      </c>
    </row>
    <row r="98" spans="1:6" ht="15" customHeight="1" x14ac:dyDescent="0.2">
      <c r="A98" s="22" t="s">
        <v>151</v>
      </c>
      <c r="B98" s="28" t="s">
        <v>152</v>
      </c>
      <c r="C98" s="113">
        <f>ENERO!C98+FEBRERO!C98+MARZO!C98+ABRIL!C98+MAYO!C98+JUNIO!C98+JULIO!C98+AGOSTO!C98+SEPTIEMBRE!C98+OCTUBRE!C98+NOVIEMBRE!C98+DICIEMBRE!C98</f>
        <v>1949</v>
      </c>
      <c r="D98" s="114">
        <f>ENERO!D98+FEBRERO!D98+MARZO!D98+ABRIL!D98+MAYO!D98+JUNIO!D98+JULIO!D98+AGOSTO!D98+SEPTIEMBRE!D98+OCTUBRE!D98+NOVIEMBRE!D98+DICIEMBRE!D98</f>
        <v>158</v>
      </c>
      <c r="E98" s="115">
        <f>ENERO!E98+FEBRERO!E98+MARZO!E98+ABRIL!E98+MAYO!E98+JUNIO!E98+JULIO!E98+AGOSTO!E98+SEPTIEMBRE!E98+OCTUBRE!E98+NOVIEMBRE!E98+DICIEMBRE!E98</f>
        <v>0</v>
      </c>
      <c r="F98" s="116">
        <f>ENERO!F98+FEBRERO!F98+MARZO!F98+ABRIL!F98+MAYO!F98+JUNIO!F98+JULIO!F98+AGOSTO!F98+SEPTIEMBRE!F98+OCTUBRE!F98+NOVIEMBRE!F98+DICIEMBRE!F98</f>
        <v>465763145</v>
      </c>
    </row>
    <row r="99" spans="1:6" ht="15" customHeight="1" x14ac:dyDescent="0.2">
      <c r="A99" s="22" t="s">
        <v>153</v>
      </c>
      <c r="B99" s="28" t="s">
        <v>154</v>
      </c>
      <c r="C99" s="113">
        <f>ENERO!C99+FEBRERO!C99+MARZO!C99+ABRIL!C99+MAYO!C99+JUNIO!C99+JULIO!C99+AGOSTO!C99+SEPTIEMBRE!C99+OCTUBRE!C99+NOVIEMBRE!C99+DICIEMBRE!C99</f>
        <v>109</v>
      </c>
      <c r="D99" s="114">
        <f>ENERO!D99+FEBRERO!D99+MARZO!D99+ABRIL!D99+MAYO!D99+JUNIO!D99+JULIO!D99+AGOSTO!D99+SEPTIEMBRE!D99+OCTUBRE!D99+NOVIEMBRE!D99+DICIEMBRE!D99</f>
        <v>1</v>
      </c>
      <c r="E99" s="115">
        <f>ENERO!E99+FEBRERO!E99+MARZO!E99+ABRIL!E99+MAYO!E99+JUNIO!E99+JULIO!E99+AGOSTO!E99+SEPTIEMBRE!E99+OCTUBRE!E99+NOVIEMBRE!E99+DICIEMBRE!E99</f>
        <v>0</v>
      </c>
      <c r="F99" s="116">
        <f>ENERO!F99+FEBRERO!F99+MARZO!F99+ABRIL!F99+MAYO!F99+JUNIO!F99+JULIO!F99+AGOSTO!F99+SEPTIEMBRE!F99+OCTUBRE!F99+NOVIEMBRE!F99+DICIEMBRE!F99</f>
        <v>8937885</v>
      </c>
    </row>
    <row r="100" spans="1:6" ht="15" customHeight="1" x14ac:dyDescent="0.2">
      <c r="A100" s="22" t="s">
        <v>155</v>
      </c>
      <c r="B100" s="28" t="s">
        <v>156</v>
      </c>
      <c r="C100" s="113">
        <f>ENERO!C100+FEBRERO!C100+MARZO!C100+ABRIL!C100+MAYO!C100+JUNIO!C100+JULIO!C100+AGOSTO!C100+SEPTIEMBRE!C100+OCTUBRE!C100+NOVIEMBRE!C100+DICIEMBRE!C100</f>
        <v>247</v>
      </c>
      <c r="D100" s="114">
        <f>ENERO!D100+FEBRERO!D100+MARZO!D100+ABRIL!D100+MAYO!D100+JUNIO!D100+JULIO!D100+AGOSTO!D100+SEPTIEMBRE!D100+OCTUBRE!D100+NOVIEMBRE!D100+DICIEMBRE!D100</f>
        <v>14</v>
      </c>
      <c r="E100" s="115">
        <f>ENERO!E100+FEBRERO!E100+MARZO!E100+ABRIL!E100+MAYO!E100+JUNIO!E100+JULIO!E100+AGOSTO!E100+SEPTIEMBRE!E100+OCTUBRE!E100+NOVIEMBRE!E100+DICIEMBRE!E100</f>
        <v>0</v>
      </c>
      <c r="F100" s="116">
        <f>ENERO!F100+FEBRERO!F100+MARZO!F100+ABRIL!F100+MAYO!F100+JUNIO!F100+JULIO!F100+AGOSTO!F100+SEPTIEMBRE!F100+OCTUBRE!F100+NOVIEMBRE!F100+DICIEMBRE!F100</f>
        <v>43691060</v>
      </c>
    </row>
    <row r="101" spans="1:6" ht="15" customHeight="1" x14ac:dyDescent="0.2">
      <c r="A101" s="22" t="s">
        <v>157</v>
      </c>
      <c r="B101" s="28" t="s">
        <v>158</v>
      </c>
      <c r="C101" s="113">
        <f>ENERO!C101+FEBRERO!C101+MARZO!C101+ABRIL!C101+MAYO!C101+JUNIO!C101+JULIO!C101+AGOSTO!C101+SEPTIEMBRE!C101+OCTUBRE!C101+NOVIEMBRE!C101+DICIEMBRE!C101</f>
        <v>62</v>
      </c>
      <c r="D101" s="114">
        <f>ENERO!D101+FEBRERO!D101+MARZO!D101+ABRIL!D101+MAYO!D101+JUNIO!D101+JULIO!D101+AGOSTO!D101+SEPTIEMBRE!D101+OCTUBRE!D101+NOVIEMBRE!D101+DICIEMBRE!D101</f>
        <v>2</v>
      </c>
      <c r="E101" s="115">
        <f>ENERO!E101+FEBRERO!E101+MARZO!E101+ABRIL!E101+MAYO!E101+JUNIO!E101+JULIO!E101+AGOSTO!E101+SEPTIEMBRE!E101+OCTUBRE!E101+NOVIEMBRE!E101+DICIEMBRE!E101</f>
        <v>0</v>
      </c>
      <c r="F101" s="116">
        <f>ENERO!F101+FEBRERO!F101+MARZO!F101+ABRIL!F101+MAYO!F101+JUNIO!F101+JULIO!F101+AGOSTO!F101+SEPTIEMBRE!F101+OCTUBRE!F101+NOVIEMBRE!F101+DICIEMBRE!F101</f>
        <v>12114645</v>
      </c>
    </row>
    <row r="102" spans="1:6" ht="15" customHeight="1" x14ac:dyDescent="0.2">
      <c r="A102" s="65" t="s">
        <v>159</v>
      </c>
      <c r="B102" s="30" t="s">
        <v>160</v>
      </c>
      <c r="C102" s="117">
        <f>ENERO!C102+FEBRERO!C102+MARZO!C102+ABRIL!C102+MAYO!C102+JUNIO!C102+JULIO!C102+AGOSTO!C102+SEPTIEMBRE!C102+OCTUBRE!C102+NOVIEMBRE!C102+DICIEMBRE!C102</f>
        <v>402</v>
      </c>
      <c r="D102" s="118">
        <f>ENERO!D102+FEBRERO!D102+MARZO!D102+ABRIL!D102+MAYO!D102+JUNIO!D102+JULIO!D102+AGOSTO!D102+SEPTIEMBRE!D102+OCTUBRE!D102+NOVIEMBRE!D102+DICIEMBRE!D102</f>
        <v>60</v>
      </c>
      <c r="E102" s="119">
        <f>ENERO!E102+FEBRERO!E102+MARZO!E102+ABRIL!E102+MAYO!E102+JUNIO!E102+JULIO!E102+AGOSTO!E102+SEPTIEMBRE!E102+OCTUBRE!E102+NOVIEMBRE!E102+DICIEMBRE!E102</f>
        <v>0</v>
      </c>
      <c r="F102" s="120">
        <f>ENERO!F102+FEBRERO!F102+MARZO!F102+ABRIL!F102+MAYO!F102+JUNIO!F102+JULIO!F102+AGOSTO!F102+SEPTIEMBRE!F102+OCTUBRE!F102+NOVIEMBRE!F102+DICIEMBRE!F102</f>
        <v>74789085</v>
      </c>
    </row>
    <row r="103" spans="1:6" ht="15" customHeight="1" x14ac:dyDescent="0.2">
      <c r="A103" s="17" t="s">
        <v>161</v>
      </c>
      <c r="B103" s="36" t="s">
        <v>162</v>
      </c>
      <c r="C103" s="109">
        <f>ENERO!C103+FEBRERO!C103+MARZO!C103+ABRIL!C103+MAYO!C103+JUNIO!C103+JULIO!C103+AGOSTO!C103+SEPTIEMBRE!C103+OCTUBRE!C103+NOVIEMBRE!C103+DICIEMBRE!C103</f>
        <v>787</v>
      </c>
      <c r="D103" s="110">
        <f>ENERO!D103+FEBRERO!D103+MARZO!D103+ABRIL!D103+MAYO!D103+JUNIO!D103+JULIO!D103+AGOSTO!D103+SEPTIEMBRE!D103+OCTUBRE!D103+NOVIEMBRE!D103+DICIEMBRE!D103</f>
        <v>7</v>
      </c>
      <c r="E103" s="111">
        <f>ENERO!E103+FEBRERO!E103+MARZO!E103+ABRIL!E103+MAYO!E103+JUNIO!E103+JULIO!E103+AGOSTO!E103+SEPTIEMBRE!E103+OCTUBRE!E103+NOVIEMBRE!E103+DICIEMBRE!E103</f>
        <v>0</v>
      </c>
      <c r="F103" s="112">
        <f>ENERO!F103+FEBRERO!F103+MARZO!F103+ABRIL!F103+MAYO!F103+JUNIO!F103+JULIO!F103+AGOSTO!F103+SEPTIEMBRE!F103+OCTUBRE!F103+NOVIEMBRE!F103+DICIEMBRE!F103</f>
        <v>85047060</v>
      </c>
    </row>
    <row r="104" spans="1:6" ht="15" customHeight="1" x14ac:dyDescent="0.2">
      <c r="A104" s="22"/>
      <c r="B104" s="28" t="s">
        <v>163</v>
      </c>
      <c r="C104" s="113">
        <f>ENERO!C104+FEBRERO!C104+MARZO!C104+ABRIL!C104+MAYO!C104+JUNIO!C104+JULIO!C104+AGOSTO!C104+SEPTIEMBRE!C104+OCTUBRE!C104+NOVIEMBRE!C104+DICIEMBRE!C104</f>
        <v>1</v>
      </c>
      <c r="D104" s="114">
        <f>ENERO!D104+FEBRERO!D104+MARZO!D104+ABRIL!D104+MAYO!D104+JUNIO!D104+JULIO!D104+AGOSTO!D104+SEPTIEMBRE!D104+OCTUBRE!D104+NOVIEMBRE!D104+DICIEMBRE!D104</f>
        <v>0</v>
      </c>
      <c r="E104" s="115">
        <f>ENERO!E104+FEBRERO!E104+MARZO!E104+ABRIL!E104+MAYO!E104+JUNIO!E104+JULIO!E104+AGOSTO!E104+SEPTIEMBRE!E104+OCTUBRE!E104+NOVIEMBRE!E104+DICIEMBRE!E104</f>
        <v>0</v>
      </c>
      <c r="F104" s="116">
        <f>ENERO!F104+FEBRERO!F104+MARZO!F104+ABRIL!F104+MAYO!F104+JUNIO!F104+JULIO!F104+AGOSTO!F104+SEPTIEMBRE!F104+OCTUBRE!F104+NOVIEMBRE!F104+DICIEMBRE!F104</f>
        <v>232570</v>
      </c>
    </row>
    <row r="105" spans="1:6" ht="15" customHeight="1" x14ac:dyDescent="0.2">
      <c r="A105" s="22"/>
      <c r="B105" s="28" t="s">
        <v>164</v>
      </c>
      <c r="C105" s="113">
        <f>ENERO!C105+FEBRERO!C105+MARZO!C105+ABRIL!C105+MAYO!C105+JUNIO!C105+JULIO!C105+AGOSTO!C105+SEPTIEMBRE!C105+OCTUBRE!C105+NOVIEMBRE!C105+DICIEMBRE!C105</f>
        <v>516</v>
      </c>
      <c r="D105" s="114">
        <f>ENERO!D105+FEBRERO!D105+MARZO!D105+ABRIL!D105+MAYO!D105+JUNIO!D105+JULIO!D105+AGOSTO!D105+SEPTIEMBRE!D105+OCTUBRE!D105+NOVIEMBRE!D105+DICIEMBRE!D105</f>
        <v>0</v>
      </c>
      <c r="E105" s="115">
        <f>ENERO!E105+FEBRERO!E105+MARZO!E105+ABRIL!E105+MAYO!E105+JUNIO!E105+JULIO!E105+AGOSTO!E105+SEPTIEMBRE!E105+OCTUBRE!E105+NOVIEMBRE!E105+DICIEMBRE!E105</f>
        <v>0</v>
      </c>
      <c r="F105" s="116">
        <f>ENERO!F105+FEBRERO!F105+MARZO!F105+ABRIL!F105+MAYO!F105+JUNIO!F105+JULIO!F105+AGOSTO!F105+SEPTIEMBRE!F105+OCTUBRE!F105+NOVIEMBRE!F105+DICIEMBRE!F105</f>
        <v>60524280</v>
      </c>
    </row>
    <row r="106" spans="1:6" ht="15" customHeight="1" x14ac:dyDescent="0.2">
      <c r="A106" s="29"/>
      <c r="B106" s="39" t="s">
        <v>165</v>
      </c>
      <c r="C106" s="121">
        <f>ENERO!C106+FEBRERO!C106+MARZO!C106+ABRIL!C106+MAYO!C106+JUNIO!C106+JULIO!C106+AGOSTO!C106+SEPTIEMBRE!C106+OCTUBRE!C106+NOVIEMBRE!C106+DICIEMBRE!C106</f>
        <v>270</v>
      </c>
      <c r="D106" s="122">
        <f>ENERO!D106+FEBRERO!D106+MARZO!D106+ABRIL!D106+MAYO!D106+JUNIO!D106+JULIO!D106+AGOSTO!D106+SEPTIEMBRE!D106+OCTUBRE!D106+NOVIEMBRE!D106+DICIEMBRE!D106</f>
        <v>7</v>
      </c>
      <c r="E106" s="123">
        <f>ENERO!E106+FEBRERO!E106+MARZO!E106+ABRIL!E106+MAYO!E106+JUNIO!E106+JULIO!E106+AGOSTO!E106+SEPTIEMBRE!E106+OCTUBRE!E106+NOVIEMBRE!E106+DICIEMBRE!E106</f>
        <v>0</v>
      </c>
      <c r="F106" s="124">
        <f>ENERO!F106+FEBRERO!F106+MARZO!F106+ABRIL!F106+MAYO!F106+JUNIO!F106+JULIO!F106+AGOSTO!F106+SEPTIEMBRE!F106+OCTUBRE!F106+NOVIEMBRE!F106+DICIEMBRE!F106</f>
        <v>24290210</v>
      </c>
    </row>
    <row r="107" spans="1:6" ht="15" customHeight="1" x14ac:dyDescent="0.2">
      <c r="A107" s="59" t="s">
        <v>166</v>
      </c>
      <c r="B107" s="79" t="s">
        <v>167</v>
      </c>
      <c r="C107" s="125">
        <f>ENERO!C107+FEBRERO!C107+MARZO!C107+ABRIL!C107+MAYO!C107+JUNIO!C107+JULIO!C107+AGOSTO!C107+SEPTIEMBRE!C107+OCTUBRE!C107+NOVIEMBRE!C107+DICIEMBRE!C107</f>
        <v>507</v>
      </c>
      <c r="D107" s="126">
        <f>ENERO!D107+FEBRERO!D107+MARZO!D107+ABRIL!D107+MAYO!D107+JUNIO!D107+JULIO!D107+AGOSTO!D107+SEPTIEMBRE!D107+OCTUBRE!D107+NOVIEMBRE!D107+DICIEMBRE!D107</f>
        <v>27</v>
      </c>
      <c r="E107" s="127">
        <f>ENERO!E107+FEBRERO!E107+MARZO!E107+ABRIL!E107+MAYO!E107+JUNIO!E107+JULIO!E107+AGOSTO!E107+SEPTIEMBRE!E107+OCTUBRE!E107+NOVIEMBRE!E107+DICIEMBRE!E107</f>
        <v>0</v>
      </c>
      <c r="F107" s="128">
        <f>ENERO!F107+FEBRERO!F107+MARZO!F107+ABRIL!F107+MAYO!F107+JUNIO!F107+JULIO!F107+AGOSTO!F107+SEPTIEMBRE!F107+OCTUBRE!F107+NOVIEMBRE!F107+DICIEMBRE!F107</f>
        <v>80876855</v>
      </c>
    </row>
    <row r="108" spans="1:6" ht="15" customHeight="1" x14ac:dyDescent="0.2">
      <c r="A108" s="129">
        <v>2106</v>
      </c>
      <c r="B108" s="39" t="s">
        <v>168</v>
      </c>
      <c r="C108" s="121">
        <f>ENERO!C108+FEBRERO!C108+MARZO!C108+ABRIL!C108+MAYO!C108+JUNIO!C108+JULIO!C108+AGOSTO!C108+SEPTIEMBRE!C108+OCTUBRE!C108+NOVIEMBRE!C108+DICIEMBRE!C108</f>
        <v>34</v>
      </c>
      <c r="D108" s="122">
        <f>ENERO!D108+FEBRERO!D108+MARZO!D108+ABRIL!D108+MAYO!D108+JUNIO!D108+JULIO!D108+AGOSTO!D108+SEPTIEMBRE!D108+OCTUBRE!D108+NOVIEMBRE!D108+DICIEMBRE!D108</f>
        <v>2</v>
      </c>
      <c r="E108" s="123">
        <f>ENERO!E108+FEBRERO!E108+MARZO!E108+ABRIL!E108+MAYO!E108+JUNIO!E108+JULIO!E108+AGOSTO!E108+SEPTIEMBRE!E108+OCTUBRE!E108+NOVIEMBRE!E108+DICIEMBRE!E108</f>
        <v>0</v>
      </c>
      <c r="F108" s="124">
        <f>ENERO!F108+FEBRERO!F108+MARZO!F108+ABRIL!F108+MAYO!F108+JUNIO!F108+JULIO!F108+AGOSTO!F108+SEPTIEMBRE!F108+OCTUBRE!F108+NOVIEMBRE!F108+DICIEMBRE!F108</f>
        <v>1899850</v>
      </c>
    </row>
    <row r="109" spans="1:6" ht="15" customHeight="1" x14ac:dyDescent="0.2">
      <c r="A109" s="130"/>
      <c r="B109" s="131" t="s">
        <v>169</v>
      </c>
      <c r="C109" s="132">
        <f>SUM(C90:C108)-C103</f>
        <v>8200</v>
      </c>
      <c r="D109" s="133">
        <f>SUM(D90:D108)-D103</f>
        <v>332</v>
      </c>
      <c r="E109" s="134">
        <f>+SUM(E90:E103)+E107+E108</f>
        <v>0</v>
      </c>
      <c r="F109" s="135">
        <f>+SUM(F90:F103)+F107+F108</f>
        <v>1336824175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256" t="s">
        <v>170</v>
      </c>
      <c r="B112" s="252"/>
      <c r="C112" s="252"/>
      <c r="D112" s="252"/>
      <c r="E112" s="253"/>
      <c r="F112" s="5"/>
    </row>
    <row r="113" spans="1:6" ht="38.25" x14ac:dyDescent="0.2">
      <c r="A113" s="11" t="s">
        <v>8</v>
      </c>
      <c r="B113" s="11" t="s">
        <v>9</v>
      </c>
      <c r="C113" s="15" t="s">
        <v>10</v>
      </c>
      <c r="D113" s="13" t="s">
        <v>11</v>
      </c>
      <c r="E113" s="16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19">
        <f>ENERO!C114+FEBRERO!C114+MARZO!C114+ABRIL!C114+MAYO!C114+JUNIO!C114+JULIO!C114+AGOSTO!C114+SEPTIEMBRE!C114+OCTUBRE!C114+NOVIEMBRE!C114+DICIEMBRE!C114</f>
        <v>1159</v>
      </c>
      <c r="D114" s="136">
        <f>+[1]BS17A!U1624</f>
        <v>114560</v>
      </c>
      <c r="E114" s="137">
        <f>ENERO!E114+FEBRERO!E114+MARZO!E114+ABRIL!E114+MAYO!E114+JUNIO!E114+JULIO!E114+AGOSTO!E114+SEPTIEMBRE!E114+OCTUBRE!E114+NOVIEMBRE!E114+DICIEMBRE!E114</f>
        <v>135519320</v>
      </c>
      <c r="F114" s="8"/>
    </row>
    <row r="115" spans="1:6" ht="15" customHeight="1" x14ac:dyDescent="0.2">
      <c r="A115" s="29" t="s">
        <v>173</v>
      </c>
      <c r="B115" s="138" t="s">
        <v>174</v>
      </c>
      <c r="C115" s="66">
        <f>ENERO!C115+FEBRERO!C115+MARZO!C115+ABRIL!C115+MAYO!C115+JUNIO!C115+JULIO!C115+AGOSTO!C115+SEPTIEMBRE!C115+OCTUBRE!C115+NOVIEMBRE!C115+DICIEMBRE!C115</f>
        <v>64</v>
      </c>
      <c r="D115" s="139">
        <f>+[1]BS17A!U1625</f>
        <v>120540</v>
      </c>
      <c r="E115" s="106">
        <f>ENERO!E115+FEBRERO!E115+MARZO!E115+ABRIL!E115+MAYO!E115+JUNIO!E115+JULIO!E115+AGOSTO!E115+SEPTIEMBRE!E115+OCTUBRE!E115+NOVIEMBRE!E115+DICIEMBRE!E115</f>
        <v>7841920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1223</v>
      </c>
      <c r="D116" s="57"/>
      <c r="E116" s="107">
        <f>SUM(E114:E115)</f>
        <v>143361240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262" t="s">
        <v>176</v>
      </c>
      <c r="B119" s="262"/>
      <c r="C119" s="262"/>
      <c r="D119" s="8"/>
      <c r="E119" s="8"/>
      <c r="F119" s="5"/>
    </row>
    <row r="120" spans="1:6" ht="28.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ENERO!C121+FEBRERO!C121+MARZO!C121+ABRIL!C121+MAYO!C121+JUNIO!C121+JULIO!C121+AGOSTO!C121+SEPTIEMBRE!C121+OCTUBRE!C121+NOVIEMBRE!C121+DICIEMBRE!C121</f>
        <v>151962250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256" t="s">
        <v>179</v>
      </c>
      <c r="B124" s="252"/>
      <c r="C124" s="252"/>
      <c r="D124" s="252"/>
      <c r="E124" s="253"/>
      <c r="F124" s="5"/>
    </row>
    <row r="125" spans="1:6" ht="38.25" x14ac:dyDescent="0.2">
      <c r="A125" s="11" t="s">
        <v>8</v>
      </c>
      <c r="B125" s="11" t="s">
        <v>9</v>
      </c>
      <c r="C125" s="15" t="s">
        <v>10</v>
      </c>
      <c r="D125" s="13" t="s">
        <v>11</v>
      </c>
      <c r="E125" s="16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19">
        <f>ENERO!C126+FEBRERO!C126+MARZO!C126+ABRIL!C126+MAYO!C126+JUNIO!C126+JULIO!C126+AGOSTO!C126+SEPTIEMBRE!C126+OCTUBRE!C126+NOVIEMBRE!C126+DICIEMBRE!C126</f>
        <v>61151</v>
      </c>
      <c r="D126" s="37">
        <f>ENERO!D126+FEBRERO!D126+MARZO!D126+ABRIL!D126+MAYO!D126+JUNIO!D126+JULIO!D126+AGOSTO!D126+SEPTIEMBRE!D126+OCTUBRE!D126+NOVIEMBRE!D126+DICIEMBRE!D126</f>
        <v>359840</v>
      </c>
      <c r="E126" s="145">
        <f>ENERO!E126+FEBRERO!E126+MARZO!E126+ABRIL!E126+MAYO!E126+JUNIO!E126+JULIO!E126+AGOSTO!E126+SEPTIEMBRE!E126+OCTUBRE!E126+NOVIEMBRE!E126+DICIEMBRE!E126</f>
        <v>1834931680</v>
      </c>
      <c r="F126" s="8"/>
    </row>
    <row r="127" spans="1:6" ht="15" customHeight="1" x14ac:dyDescent="0.2">
      <c r="A127" s="22" t="s">
        <v>182</v>
      </c>
      <c r="B127" s="23" t="s">
        <v>183</v>
      </c>
      <c r="C127" s="24">
        <f>ENERO!C127+FEBRERO!C127+MARZO!C127+ABRIL!C127+MAYO!C127+JUNIO!C127+JULIO!C127+AGOSTO!C127+SEPTIEMBRE!C127+OCTUBRE!C127+NOVIEMBRE!C127+DICIEMBRE!C127</f>
        <v>0</v>
      </c>
      <c r="D127" s="25">
        <f>ENERO!D127+FEBRERO!D127+MARZO!D127+ABRIL!D127+MAYO!D127+JUNIO!D127+JULIO!D127+AGOSTO!D127+SEPTIEMBRE!D127+OCTUBRE!D127+NOVIEMBRE!D127+DICIEMBRE!D127</f>
        <v>331240</v>
      </c>
      <c r="E127" s="146">
        <f>ENERO!E127+FEBRERO!E127+MARZO!E127+ABRIL!E127+MAYO!E127+JUNIO!E127+JULIO!E127+AGOSTO!E127+SEPTIEMBRE!E127+OCTUBRE!E127+NOVIEMBRE!E127+DICIEMBRE!E127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24">
        <f>ENERO!C128+FEBRERO!C128+MARZO!C128+ABRIL!C128+MAYO!C128+JUNIO!C128+JULIO!C128+AGOSTO!C128+SEPTIEMBRE!C128+OCTUBRE!C128+NOVIEMBRE!C128+DICIEMBRE!C128</f>
        <v>0</v>
      </c>
      <c r="D128" s="25">
        <f>ENERO!D128+FEBRERO!D128+MARZO!D128+ABRIL!D128+MAYO!D128+JUNIO!D128+JULIO!D128+AGOSTO!D128+SEPTIEMBRE!D128+OCTUBRE!D128+NOVIEMBRE!D128+DICIEMBRE!D128</f>
        <v>276160</v>
      </c>
      <c r="E128" s="146">
        <f>ENERO!E128+FEBRERO!E128+MARZO!E128+ABRIL!E128+MAYO!E128+JUNIO!E128+JULIO!E128+AGOSTO!E128+SEPTIEMBRE!E128+OCTUBRE!E128+NOVIEMBRE!E128+DICIEMBRE!E128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24">
        <f>ENERO!C129+FEBRERO!C129+MARZO!C129+ABRIL!C129+MAYO!C129+JUNIO!C129+JULIO!C129+AGOSTO!C129+SEPTIEMBRE!C129+OCTUBRE!C129+NOVIEMBRE!C129+DICIEMBRE!C129</f>
        <v>0</v>
      </c>
      <c r="D129" s="25">
        <f>ENERO!D129+FEBRERO!D129+MARZO!D129+ABRIL!D129+MAYO!D129+JUNIO!D129+JULIO!D129+AGOSTO!D129+SEPTIEMBRE!D129+OCTUBRE!D129+NOVIEMBRE!D129+DICIEMBRE!D129</f>
        <v>1495880</v>
      </c>
      <c r="E129" s="146">
        <f>ENERO!E129+FEBRERO!E129+MARZO!E129+ABRIL!E129+MAYO!E129+JUNIO!E129+JULIO!E129+AGOSTO!E129+SEPTIEMBRE!E129+OCTUBRE!E129+NOVIEMBRE!E129+DICIEMBRE!E129</f>
        <v>0</v>
      </c>
      <c r="F129" s="8"/>
    </row>
    <row r="130" spans="1:6" ht="15" customHeight="1" x14ac:dyDescent="0.2">
      <c r="A130" s="22" t="s">
        <v>188</v>
      </c>
      <c r="B130" s="23" t="s">
        <v>189</v>
      </c>
      <c r="C130" s="24">
        <f>ENERO!C130+FEBRERO!C130+MARZO!C130+ABRIL!C130+MAYO!C130+JUNIO!C130+JULIO!C130+AGOSTO!C130+SEPTIEMBRE!C130+OCTUBRE!C130+NOVIEMBRE!C130+DICIEMBRE!C130</f>
        <v>3836</v>
      </c>
      <c r="D130" s="25">
        <f>ENERO!D130+FEBRERO!D130+MARZO!D130+ABRIL!D130+MAYO!D130+JUNIO!D130+JULIO!D130+AGOSTO!D130+SEPTIEMBRE!D130+OCTUBRE!D130+NOVIEMBRE!D130+DICIEMBRE!D130</f>
        <v>722560</v>
      </c>
      <c r="E130" s="146">
        <f>ENERO!E130+FEBRERO!E130+MARZO!E130+ABRIL!E130+MAYO!E130+JUNIO!E130+JULIO!E130+AGOSTO!E130+SEPTIEMBRE!E130+OCTUBRE!E130+NOVIEMBRE!E130+DICIEMBRE!E130</f>
        <v>231323020</v>
      </c>
      <c r="F130" s="8"/>
    </row>
    <row r="131" spans="1:6" ht="15" customHeight="1" x14ac:dyDescent="0.2">
      <c r="A131" s="22" t="s">
        <v>190</v>
      </c>
      <c r="B131" s="23" t="s">
        <v>191</v>
      </c>
      <c r="C131" s="24">
        <f>ENERO!C131+FEBRERO!C131+MARZO!C131+ABRIL!C131+MAYO!C131+JUNIO!C131+JULIO!C131+AGOSTO!C131+SEPTIEMBRE!C131+OCTUBRE!C131+NOVIEMBRE!C131+DICIEMBRE!C131</f>
        <v>1957</v>
      </c>
      <c r="D131" s="25">
        <f>ENERO!D131+FEBRERO!D131+MARZO!D131+ABRIL!D131+MAYO!D131+JUNIO!D131+JULIO!D131+AGOSTO!D131+SEPTIEMBRE!D131+OCTUBRE!D131+NOVIEMBRE!D131+DICIEMBRE!D131</f>
        <v>648240</v>
      </c>
      <c r="E131" s="146">
        <f>ENERO!E131+FEBRERO!E131+MARZO!E131+ABRIL!E131+MAYO!E131+JUNIO!E131+JULIO!E131+AGOSTO!E131+SEPTIEMBRE!E131+OCTUBRE!E131+NOVIEMBRE!E131+DICIEMBRE!E131</f>
        <v>105780360</v>
      </c>
      <c r="F131" s="8"/>
    </row>
    <row r="132" spans="1:6" ht="15" customHeight="1" x14ac:dyDescent="0.2">
      <c r="A132" s="22" t="s">
        <v>192</v>
      </c>
      <c r="B132" s="23" t="s">
        <v>193</v>
      </c>
      <c r="C132" s="24">
        <f>ENERO!C132+FEBRERO!C132+MARZO!C132+ABRIL!C132+MAYO!C132+JUNIO!C132+JULIO!C132+AGOSTO!C132+SEPTIEMBRE!C132+OCTUBRE!C132+NOVIEMBRE!C132+DICIEMBRE!C132</f>
        <v>0</v>
      </c>
      <c r="D132" s="25">
        <f>ENERO!D132+FEBRERO!D132+MARZO!D132+ABRIL!D132+MAYO!D132+JUNIO!D132+JULIO!D132+AGOSTO!D132+SEPTIEMBRE!D132+OCTUBRE!D132+NOVIEMBRE!D132+DICIEMBRE!D132</f>
        <v>184000</v>
      </c>
      <c r="E132" s="146">
        <f>ENERO!E132+FEBRERO!E132+MARZO!E132+ABRIL!E132+MAYO!E132+JUNIO!E132+JULIO!E132+AGOSTO!E132+SEPTIEMBRE!E132+OCTUBRE!E132+NOVIEMBRE!E132+DICIEMBRE!E132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24">
        <f>ENERO!C133+FEBRERO!C133+MARZO!C133+ABRIL!C133+MAYO!C133+JUNIO!C133+JULIO!C133+AGOSTO!C133+SEPTIEMBRE!C133+OCTUBRE!C133+NOVIEMBRE!C133+DICIEMBRE!C133</f>
        <v>0</v>
      </c>
      <c r="D133" s="25">
        <f>ENERO!D133+FEBRERO!D133+MARZO!D133+ABRIL!D133+MAYO!D133+JUNIO!D133+JULIO!D133+AGOSTO!D133+SEPTIEMBRE!D133+OCTUBRE!D133+NOVIEMBRE!D133+DICIEMBRE!D133</f>
        <v>288240</v>
      </c>
      <c r="E133" s="146">
        <f>ENERO!E133+FEBRERO!E133+MARZO!E133+ABRIL!E133+MAYO!E133+JUNIO!E133+JULIO!E133+AGOSTO!E133+SEPTIEMBRE!E133+OCTUBRE!E133+NOVIEMBRE!E133+DICIEMBRE!E133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24">
        <f>ENERO!C134+FEBRERO!C134+MARZO!C134+ABRIL!C134+MAYO!C134+JUNIO!C134+JULIO!C134+AGOSTO!C134+SEPTIEMBRE!C134+OCTUBRE!C134+NOVIEMBRE!C134+DICIEMBRE!C134</f>
        <v>0</v>
      </c>
      <c r="D134" s="25">
        <f>ENERO!D134+FEBRERO!D134+MARZO!D134+ABRIL!D134+MAYO!D134+JUNIO!D134+JULIO!D134+AGOSTO!D134+SEPTIEMBRE!D134+OCTUBRE!D134+NOVIEMBRE!D134+DICIEMBRE!D134</f>
        <v>290520</v>
      </c>
      <c r="E134" s="146">
        <f>ENERO!E134+FEBRERO!E134+MARZO!E134+ABRIL!E134+MAYO!E134+JUNIO!E134+JULIO!E134+AGOSTO!E134+SEPTIEMBRE!E134+OCTUBRE!E134+NOVIEMBRE!E134+DICIEMBRE!E134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24">
        <f>ENERO!C135+FEBRERO!C135+MARZO!C135+ABRIL!C135+MAYO!C135+JUNIO!C135+JULIO!C135+AGOSTO!C135+SEPTIEMBRE!C135+OCTUBRE!C135+NOVIEMBRE!C135+DICIEMBRE!C135</f>
        <v>0</v>
      </c>
      <c r="D135" s="25">
        <f>ENERO!D135+FEBRERO!D135+MARZO!D135+ABRIL!D135+MAYO!D135+JUNIO!D135+JULIO!D135+AGOSTO!D135+SEPTIEMBRE!D135+OCTUBRE!D135+NOVIEMBRE!D135+DICIEMBRE!D135</f>
        <v>300000</v>
      </c>
      <c r="E135" s="146">
        <f>ENERO!E135+FEBRERO!E135+MARZO!E135+ABRIL!E135+MAYO!E135+JUNIO!E135+JULIO!E135+AGOSTO!E135+SEPTIEMBRE!E135+OCTUBRE!E135+NOVIEMBRE!E135+DICIEMBRE!E135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24">
        <f>ENERO!C136+FEBRERO!C136+MARZO!C136+ABRIL!C136+MAYO!C136+JUNIO!C136+JULIO!C136+AGOSTO!C136+SEPTIEMBRE!C136+OCTUBRE!C136+NOVIEMBRE!C136+DICIEMBRE!C136</f>
        <v>0</v>
      </c>
      <c r="D136" s="25">
        <f>ENERO!D136+FEBRERO!D136+MARZO!D136+ABRIL!D136+MAYO!D136+JUNIO!D136+JULIO!D136+AGOSTO!D136+SEPTIEMBRE!D136+OCTUBRE!D136+NOVIEMBRE!D136+DICIEMBRE!D136</f>
        <v>359840</v>
      </c>
      <c r="E136" s="146">
        <f>ENERO!E136+FEBRERO!E136+MARZO!E136+ABRIL!E136+MAYO!E136+JUNIO!E136+JULIO!E136+AGOSTO!E136+SEPTIEMBRE!E136+OCTUBRE!E136+NOVIEMBRE!E136+DICIEMBRE!E136</f>
        <v>0</v>
      </c>
      <c r="F136" s="8"/>
    </row>
    <row r="137" spans="1:6" ht="15" customHeight="1" x14ac:dyDescent="0.2">
      <c r="A137" s="22" t="s">
        <v>202</v>
      </c>
      <c r="B137" s="28" t="s">
        <v>203</v>
      </c>
      <c r="C137" s="24">
        <f>ENERO!C137+FEBRERO!C137+MARZO!C137+ABRIL!C137+MAYO!C137+JUNIO!C137+JULIO!C137+AGOSTO!C137+SEPTIEMBRE!C137+OCTUBRE!C137+NOVIEMBRE!C137+DICIEMBRE!C137</f>
        <v>345</v>
      </c>
      <c r="D137" s="25">
        <f>ENERO!D137+FEBRERO!D137+MARZO!D137+ABRIL!D137+MAYO!D137+JUNIO!D137+JULIO!D137+AGOSTO!D137+SEPTIEMBRE!D137+OCTUBRE!D137+NOVIEMBRE!D137+DICIEMBRE!D137</f>
        <v>69800</v>
      </c>
      <c r="E137" s="146">
        <f>ENERO!E137+FEBRERO!E137+MARZO!E137+ABRIL!E137+MAYO!E137+JUNIO!E137+JULIO!E137+AGOSTO!E137+SEPTIEMBRE!E137+OCTUBRE!E137+NOVIEMBRE!E137+DICIEMBRE!E137</f>
        <v>2028600</v>
      </c>
      <c r="F137" s="8"/>
    </row>
    <row r="138" spans="1:6" ht="15" customHeight="1" x14ac:dyDescent="0.2">
      <c r="A138" s="22" t="s">
        <v>204</v>
      </c>
      <c r="B138" s="28" t="s">
        <v>205</v>
      </c>
      <c r="C138" s="24">
        <f>ENERO!C138+FEBRERO!C138+MARZO!C138+ABRIL!C138+MAYO!C138+JUNIO!C138+JULIO!C138+AGOSTO!C138+SEPTIEMBRE!C138+OCTUBRE!C138+NOVIEMBRE!C138+DICIEMBRE!C138</f>
        <v>0</v>
      </c>
      <c r="D138" s="25">
        <f>ENERO!D138+FEBRERO!D138+MARZO!D138+ABRIL!D138+MAYO!D138+JUNIO!D138+JULIO!D138+AGOSTO!D138+SEPTIEMBRE!D138+OCTUBRE!D138+NOVIEMBRE!D138+DICIEMBRE!D138</f>
        <v>504200</v>
      </c>
      <c r="E138" s="146">
        <f>ENERO!E138+FEBRERO!E138+MARZO!E138+ABRIL!E138+MAYO!E138+JUNIO!E138+JULIO!E138+AGOSTO!E138+SEPTIEMBRE!E138+OCTUBRE!E138+NOVIEMBRE!E138+DICIEMBRE!E138</f>
        <v>0</v>
      </c>
      <c r="F138" s="8"/>
    </row>
    <row r="139" spans="1:6" ht="15" customHeight="1" x14ac:dyDescent="0.2">
      <c r="A139" s="29"/>
      <c r="B139" s="147" t="s">
        <v>206</v>
      </c>
      <c r="C139" s="148">
        <f>SUM(C126:C138)</f>
        <v>67289</v>
      </c>
      <c r="D139" s="149"/>
      <c r="E139" s="150">
        <f>SUM(E126:E138)</f>
        <v>2174063660</v>
      </c>
      <c r="F139" s="8"/>
    </row>
    <row r="140" spans="1:6" ht="15" customHeight="1" x14ac:dyDescent="0.2">
      <c r="A140" s="17"/>
      <c r="B140" s="81" t="s">
        <v>207</v>
      </c>
      <c r="C140" s="19">
        <f>ENERO!C140+FEBRERO!C140+MARZO!C140+ABRIL!C140+MAYO!C140+JUNIO!C140+JULIO!C140+AGOSTO!C140+SEPTIEMBRE!C140+OCTUBRE!C140+NOVIEMBRE!C140+DICIEMBRE!C140</f>
        <v>0</v>
      </c>
      <c r="D140" s="37">
        <f>ENERO!D140+FEBRERO!D140+MARZO!D140+ABRIL!D140+MAYO!D140+JUNIO!D140+JULIO!D140+AGOSTO!D140+SEPTIEMBRE!D140+OCTUBRE!D140+NOVIEMBRE!D140+DICIEMBRE!D140</f>
        <v>0</v>
      </c>
      <c r="E140" s="145">
        <f>ENERO!E140+FEBRERO!E140+MARZO!E140+ABRIL!E140+MAYO!E140+JUNIO!E140+JULIO!E140+AGOSTO!E140+SEPTIEMBRE!E140+OCTUBRE!E140+NOVIEMBRE!E140+DICIEMBRE!E140</f>
        <v>0</v>
      </c>
      <c r="F140" s="8"/>
    </row>
    <row r="141" spans="1:6" ht="15" customHeight="1" x14ac:dyDescent="0.2">
      <c r="A141" s="22" t="s">
        <v>208</v>
      </c>
      <c r="B141" s="23" t="s">
        <v>209</v>
      </c>
      <c r="C141" s="24">
        <f>ENERO!C141+FEBRERO!C141+MARZO!C141+ABRIL!C141+MAYO!C141+JUNIO!C141+JULIO!C141+AGOSTO!C141+SEPTIEMBRE!C141+OCTUBRE!C141+NOVIEMBRE!C141+DICIEMBRE!C141</f>
        <v>0</v>
      </c>
      <c r="D141" s="25">
        <f>ENERO!D141+FEBRERO!D141+MARZO!D141+ABRIL!D141+MAYO!D141+JUNIO!D141+JULIO!D141+AGOSTO!D141+SEPTIEMBRE!D141+OCTUBRE!D141+NOVIEMBRE!D141+DICIEMBRE!D141</f>
        <v>120960</v>
      </c>
      <c r="E141" s="146">
        <f>ENERO!E141+FEBRERO!E141+MARZO!E141+ABRIL!E141+MAYO!E141+JUNIO!E141+JULIO!E141+AGOSTO!E141+SEPTIEMBRE!E141+OCTUBRE!E141+NOVIEMBRE!E141+DICIEMBRE!E141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24">
        <f>ENERO!C142+FEBRERO!C142+MARZO!C142+ABRIL!C142+MAYO!C142+JUNIO!C142+JULIO!C142+AGOSTO!C142+SEPTIEMBRE!C142+OCTUBRE!C142+NOVIEMBRE!C142+DICIEMBRE!C142</f>
        <v>0</v>
      </c>
      <c r="D142" s="25">
        <f>ENERO!D142+FEBRERO!D142+MARZO!D142+ABRIL!D142+MAYO!D142+JUNIO!D142+JULIO!D142+AGOSTO!D142+SEPTIEMBRE!D142+OCTUBRE!D142+NOVIEMBRE!D142+DICIEMBRE!D142</f>
        <v>120960</v>
      </c>
      <c r="E142" s="146">
        <f>ENERO!E142+FEBRERO!E142+MARZO!E142+ABRIL!E142+MAYO!E142+JUNIO!E142+JULIO!E142+AGOSTO!E142+SEPTIEMBRE!E142+OCTUBRE!E142+NOVIEMBRE!E142+DICIEMBRE!E142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24">
        <f>ENERO!C143+FEBRERO!C143+MARZO!C143+ABRIL!C143+MAYO!C143+JUNIO!C143+JULIO!C143+AGOSTO!C143+SEPTIEMBRE!C143+OCTUBRE!C143+NOVIEMBRE!C143+DICIEMBRE!C143</f>
        <v>146</v>
      </c>
      <c r="D143" s="25">
        <f>ENERO!D143+FEBRERO!D143+MARZO!D143+ABRIL!D143+MAYO!D143+JUNIO!D143+JULIO!D143+AGOSTO!D143+SEPTIEMBRE!D143+OCTUBRE!D143+NOVIEMBRE!D143+DICIEMBRE!D143</f>
        <v>53320</v>
      </c>
      <c r="E143" s="146">
        <f>ENERO!E143+FEBRERO!E143+MARZO!E143+ABRIL!E143+MAYO!E143+JUNIO!E143+JULIO!E143+AGOSTO!E143+SEPTIEMBRE!E143+OCTUBRE!E143+NOVIEMBRE!E143+DICIEMBRE!E143</f>
        <v>646580</v>
      </c>
      <c r="F143" s="8"/>
    </row>
    <row r="144" spans="1:6" ht="15" customHeight="1" x14ac:dyDescent="0.2">
      <c r="A144" s="22" t="s">
        <v>214</v>
      </c>
      <c r="B144" s="23" t="s">
        <v>215</v>
      </c>
      <c r="C144" s="24">
        <f>ENERO!C144+FEBRERO!C144+MARZO!C144+ABRIL!C144+MAYO!C144+JUNIO!C144+JULIO!C144+AGOSTO!C144+SEPTIEMBRE!C144+OCTUBRE!C144+NOVIEMBRE!C144+DICIEMBRE!C144</f>
        <v>0</v>
      </c>
      <c r="D144" s="25">
        <f>ENERO!D144+FEBRERO!D144+MARZO!D144+ABRIL!D144+MAYO!D144+JUNIO!D144+JULIO!D144+AGOSTO!D144+SEPTIEMBRE!D144+OCTUBRE!D144+NOVIEMBRE!D144+DICIEMBRE!D144</f>
        <v>972800</v>
      </c>
      <c r="E144" s="146">
        <f>ENERO!E144+FEBRERO!E144+MARZO!E144+ABRIL!E144+MAYO!E144+JUNIO!E144+JULIO!E144+AGOSTO!E144+SEPTIEMBRE!E144+OCTUBRE!E144+NOVIEMBRE!E144+DICIEMBRE!E144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24">
        <f>ENERO!C145+FEBRERO!C145+MARZO!C145+ABRIL!C145+MAYO!C145+JUNIO!C145+JULIO!C145+AGOSTO!C145+SEPTIEMBRE!C145+OCTUBRE!C145+NOVIEMBRE!C145+DICIEMBRE!C145</f>
        <v>0</v>
      </c>
      <c r="D145" s="25">
        <f>ENERO!D145+FEBRERO!D145+MARZO!D145+ABRIL!D145+MAYO!D145+JUNIO!D145+JULIO!D145+AGOSTO!D145+SEPTIEMBRE!D145+OCTUBRE!D145+NOVIEMBRE!D145+DICIEMBRE!D145</f>
        <v>114800</v>
      </c>
      <c r="E145" s="146">
        <f>ENERO!E145+FEBRERO!E145+MARZO!E145+ABRIL!E145+MAYO!E145+JUNIO!E145+JULIO!E145+AGOSTO!E145+SEPTIEMBRE!E145+OCTUBRE!E145+NOVIEMBRE!E145+DICIEMBRE!E145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24">
        <f>ENERO!C146+FEBRERO!C146+MARZO!C146+ABRIL!C146+MAYO!C146+JUNIO!C146+JULIO!C146+AGOSTO!C146+SEPTIEMBRE!C146+OCTUBRE!C146+NOVIEMBRE!C146+DICIEMBRE!C146</f>
        <v>0</v>
      </c>
      <c r="D146" s="25">
        <f>ENERO!D146+FEBRERO!D146+MARZO!D146+ABRIL!D146+MAYO!D146+JUNIO!D146+JULIO!D146+AGOSTO!D146+SEPTIEMBRE!D146+OCTUBRE!D146+NOVIEMBRE!D146+DICIEMBRE!D146</f>
        <v>88440</v>
      </c>
      <c r="E146" s="146">
        <f>ENERO!E146+FEBRERO!E146+MARZO!E146+ABRIL!E146+MAYO!E146+JUNIO!E146+JULIO!E146+AGOSTO!E146+SEPTIEMBRE!E146+OCTUBRE!E146+NOVIEMBRE!E146+DICIEMBRE!E146</f>
        <v>0</v>
      </c>
      <c r="F146" s="8"/>
    </row>
    <row r="147" spans="1:6" ht="15" customHeight="1" x14ac:dyDescent="0.2">
      <c r="A147" s="29"/>
      <c r="B147" s="147" t="s">
        <v>220</v>
      </c>
      <c r="C147" s="148">
        <f>SUM(C141:C146)</f>
        <v>146</v>
      </c>
      <c r="D147" s="149"/>
      <c r="E147" s="150">
        <f>SUM(E141:E146)</f>
        <v>646580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67435</v>
      </c>
      <c r="D148" s="151"/>
      <c r="E148" s="152">
        <f>+E139+E147</f>
        <v>2174710240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239" t="s">
        <v>222</v>
      </c>
      <c r="B151" s="240"/>
      <c r="C151" s="240"/>
      <c r="D151" s="240"/>
      <c r="E151" s="241"/>
      <c r="F151" s="5"/>
    </row>
    <row r="152" spans="1:6" ht="36" customHeight="1" x14ac:dyDescent="0.2">
      <c r="A152" s="11" t="s">
        <v>8</v>
      </c>
      <c r="B152" s="11" t="s">
        <v>9</v>
      </c>
      <c r="C152" s="15" t="s">
        <v>10</v>
      </c>
      <c r="D152" s="13" t="s">
        <v>11</v>
      </c>
      <c r="E152" s="16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19">
        <f>ENERO!C153+FEBRERO!C153+MARZO!C153+ABRIL!C153+MAYO!C153+JUNIO!C153+JULIO!C153+AGOSTO!C153+SEPTIEMBRE!C153+OCTUBRE!C153+NOVIEMBRE!C153+DICIEMBRE!C153</f>
        <v>37354</v>
      </c>
      <c r="D153" s="37">
        <f>[1]BS17A!U43</f>
        <v>680</v>
      </c>
      <c r="E153" s="145">
        <f>ENERO!E153+FEBRERO!E153+MARZO!E153+ABRIL!E153+MAYO!E153+JUNIO!E153+JULIO!E153+AGOSTO!E153+SEPTIEMBRE!E153+OCTUBRE!E153+NOVIEMBRE!E153+DICIEMBRE!E153</f>
        <v>25939340</v>
      </c>
      <c r="F153" s="8"/>
    </row>
    <row r="154" spans="1:6" ht="15" customHeight="1" x14ac:dyDescent="0.2">
      <c r="A154" s="29" t="s">
        <v>225</v>
      </c>
      <c r="B154" s="43" t="s">
        <v>226</v>
      </c>
      <c r="C154" s="31">
        <f>ENERO!C154+FEBRERO!C154+MARZO!C154+ABRIL!C154+MAYO!C154+JUNIO!C154+JULIO!C154+AGOSTO!C154+SEPTIEMBRE!C154+OCTUBRE!C154+NOVIEMBRE!C154+DICIEMBRE!C154</f>
        <v>0</v>
      </c>
      <c r="D154" s="40">
        <f>[1]BS17A!U44</f>
        <v>100</v>
      </c>
      <c r="E154" s="153">
        <f>ENERO!E154+FEBRERO!E154+MARZO!E154+ABRIL!E154+MAYO!E154+JUNIO!E154+JULIO!E154+AGOSTO!E154+SEPTIEMBRE!E154+OCTUBRE!E154+NOVIEMBRE!E154+DICIEMBRE!E154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37354</v>
      </c>
      <c r="D155" s="151"/>
      <c r="E155" s="152">
        <f>SUM(E153:E154)</f>
        <v>25939340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239" t="s">
        <v>228</v>
      </c>
      <c r="B158" s="240"/>
      <c r="C158" s="240"/>
      <c r="D158" s="240"/>
      <c r="E158" s="241"/>
      <c r="F158" s="5"/>
    </row>
    <row r="159" spans="1:6" ht="47.25" customHeight="1" x14ac:dyDescent="0.2">
      <c r="A159" s="11" t="s">
        <v>8</v>
      </c>
      <c r="B159" s="11" t="s">
        <v>9</v>
      </c>
      <c r="C159" s="15" t="s">
        <v>10</v>
      </c>
      <c r="D159" s="13" t="s">
        <v>11</v>
      </c>
      <c r="E159" s="16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ENERO!C160+FEBRERO!C160+MARZO!C160+ABRIL!C160+MAYO!C160+JUNIO!C160+JULIO!C160+AGOSTO!C160+SEPTIEMBRE!C160+OCTUBRE!C160+NOVIEMBRE!C160+DICIEMBRE!C160</f>
        <v>0</v>
      </c>
      <c r="D160" s="37">
        <f>+[1]BS17A!$U1470</f>
        <v>36940</v>
      </c>
      <c r="E160" s="145">
        <f>ENERO!E160+FEBRERO!E160+MARZO!E160+ABRIL!E160+MAYO!E160+JUNIO!E160+JULIO!E160+AGOSTO!E160+SEPTIEMBRE!E160+OCTUBRE!E160+NOVIEMBRE!E160+DICIEMBRE!E160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ENERO!C161+FEBRERO!C161+MARZO!C161+ABRIL!C161+MAYO!C161+JUNIO!C161+JULIO!C161+AGOSTO!C161+SEPTIEMBRE!C161+OCTUBRE!C161+NOVIEMBRE!C161+DICIEMBRE!C161</f>
        <v>0</v>
      </c>
      <c r="D161" s="25">
        <f>+[1]BS17A!$U1471</f>
        <v>23230</v>
      </c>
      <c r="E161" s="146">
        <f>ENERO!E161+FEBRERO!E161+MARZO!E161+ABRIL!E161+MAYO!E161+JUNIO!E161+JULIO!E161+AGOSTO!E161+SEPTIEMBRE!E161+OCTUBRE!E161+NOVIEMBRE!E161+DICIEMBRE!E161</f>
        <v>0</v>
      </c>
      <c r="F161" s="8"/>
    </row>
    <row r="162" spans="1:6" ht="15" customHeight="1" x14ac:dyDescent="0.2">
      <c r="A162" s="22" t="s">
        <v>233</v>
      </c>
      <c r="B162" s="28" t="s">
        <v>234</v>
      </c>
      <c r="C162" s="155">
        <f>ENERO!C162+FEBRERO!C162+MARZO!C162+ABRIL!C162+MAYO!C162+JUNIO!C162+JULIO!C162+AGOSTO!C162+SEPTIEMBRE!C162+OCTUBRE!C162+NOVIEMBRE!C162+DICIEMBRE!C162</f>
        <v>0</v>
      </c>
      <c r="D162" s="25">
        <f>+[1]BS17A!$U1472</f>
        <v>23230</v>
      </c>
      <c r="E162" s="146">
        <f>ENERO!E162+FEBRERO!E162+MARZO!E162+ABRIL!E162+MAYO!E162+JUNIO!E162+JULIO!E162+AGOSTO!E162+SEPTIEMBRE!E162+OCTUBRE!E162+NOVIEMBRE!E162+DICIEMBRE!E162</f>
        <v>0</v>
      </c>
      <c r="F162" s="8"/>
    </row>
    <row r="163" spans="1:6" ht="15" customHeight="1" x14ac:dyDescent="0.2">
      <c r="A163" s="22" t="s">
        <v>235</v>
      </c>
      <c r="B163" s="156" t="s">
        <v>236</v>
      </c>
      <c r="C163" s="155">
        <f>ENERO!C163+FEBRERO!C163+MARZO!C163+ABRIL!C163+MAYO!C163+JUNIO!C163+JULIO!C163+AGOSTO!C163+SEPTIEMBRE!C163+OCTUBRE!C163+NOVIEMBRE!C163+DICIEMBRE!C163</f>
        <v>0</v>
      </c>
      <c r="D163" s="25">
        <f>+[1]BS17A!$U1473</f>
        <v>703680</v>
      </c>
      <c r="E163" s="146">
        <f>ENERO!E163+FEBRERO!E163+MARZO!E163+ABRIL!E163+MAYO!E163+JUNIO!E163+JULIO!E163+AGOSTO!E163+SEPTIEMBRE!E163+OCTUBRE!E163+NOVIEMBRE!E163+DICIEMBRE!E163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ENERO!C164+FEBRERO!C164+MARZO!C164+ABRIL!C164+MAYO!C164+JUNIO!C164+JULIO!C164+AGOSTO!C164+SEPTIEMBRE!C164+OCTUBRE!C164+NOVIEMBRE!C164+DICIEMBRE!C164</f>
        <v>0</v>
      </c>
      <c r="D164" s="25">
        <f>+[1]BS17A!$U1474</f>
        <v>498630</v>
      </c>
      <c r="E164" s="146">
        <f>ENERO!E164+FEBRERO!E164+MARZO!E164+ABRIL!E164+MAYO!E164+JUNIO!E164+JULIO!E164+AGOSTO!E164+SEPTIEMBRE!E164+OCTUBRE!E164+NOVIEMBRE!E164+DICIEMBRE!E164</f>
        <v>0</v>
      </c>
      <c r="F164" s="8"/>
    </row>
    <row r="165" spans="1:6" ht="15" customHeight="1" x14ac:dyDescent="0.2">
      <c r="A165" s="65" t="s">
        <v>239</v>
      </c>
      <c r="B165" s="138" t="s">
        <v>240</v>
      </c>
      <c r="C165" s="155">
        <f>ENERO!C165+FEBRERO!C165+MARZO!C165+ABRIL!C165+MAYO!C165+JUNIO!C165+JULIO!C165+AGOSTO!C165+SEPTIEMBRE!C165+OCTUBRE!C165+NOVIEMBRE!C165+DICIEMBRE!C165</f>
        <v>0</v>
      </c>
      <c r="D165" s="25">
        <f>+[1]BS17A!$U1475</f>
        <v>42450</v>
      </c>
      <c r="E165" s="146">
        <f>ENERO!E165+FEBRERO!E165+MARZO!E165+ABRIL!E165+MAYO!E165+JUNIO!E165+JULIO!E165+AGOSTO!E165+SEPTIEMBRE!E165+OCTUBRE!E165+NOVIEMBRE!E165+DICIEMBRE!E165</f>
        <v>0</v>
      </c>
      <c r="F165" s="8"/>
    </row>
    <row r="166" spans="1:6" ht="15" customHeight="1" x14ac:dyDescent="0.2">
      <c r="A166" s="129">
        <v>1901029</v>
      </c>
      <c r="B166" s="157" t="s">
        <v>241</v>
      </c>
      <c r="C166" s="158">
        <f>ENERO!C166+FEBRERO!C166+MARZO!C166+ABRIL!C166+MAYO!C166+JUNIO!C166+JULIO!C166+AGOSTO!C166+SEPTIEMBRE!C166+OCTUBRE!C166+NOVIEMBRE!C166+DICIEMBRE!C166</f>
        <v>0</v>
      </c>
      <c r="D166" s="40">
        <f>+[1]BS17A!$U1476</f>
        <v>573040</v>
      </c>
      <c r="E166" s="153">
        <f>ENERO!E166+FEBRERO!E166+MARZO!E166+ABRIL!E166+MAYO!E166+JUNIO!E166+JULIO!E166+AGOSTO!E166+SEPTIEMBRE!E166+OCTUBRE!E166+NOVIEMBRE!E166+DICIEMBRE!E166</f>
        <v>0</v>
      </c>
      <c r="F166" s="8"/>
    </row>
    <row r="167" spans="1:6" ht="15" customHeight="1" x14ac:dyDescent="0.2">
      <c r="A167" s="159"/>
      <c r="B167" s="160" t="s">
        <v>242</v>
      </c>
      <c r="C167" s="161">
        <f>SUM(C160:C166)</f>
        <v>0</v>
      </c>
      <c r="D167" s="162"/>
      <c r="E167" s="163">
        <f>SUM(E160:E166)</f>
        <v>0</v>
      </c>
      <c r="F167" s="8"/>
    </row>
    <row r="168" spans="1:6" ht="12.75" x14ac:dyDescent="0.2">
      <c r="A168" s="8"/>
      <c r="B168" s="8"/>
      <c r="C168" s="8"/>
      <c r="D168" s="8"/>
      <c r="E168" s="8"/>
      <c r="F168" s="8"/>
    </row>
    <row r="169" spans="1:6" ht="18" customHeight="1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256" t="s">
        <v>243</v>
      </c>
      <c r="B170" s="252"/>
      <c r="C170" s="252"/>
      <c r="D170" s="252"/>
      <c r="E170" s="253"/>
      <c r="F170" s="5"/>
    </row>
    <row r="171" spans="1:6" ht="35.25" customHeight="1" x14ac:dyDescent="0.2">
      <c r="A171" s="11" t="s">
        <v>8</v>
      </c>
      <c r="B171" s="11" t="s">
        <v>9</v>
      </c>
      <c r="C171" s="15" t="s">
        <v>10</v>
      </c>
      <c r="D171" s="13" t="s">
        <v>11</v>
      </c>
      <c r="E171" s="16" t="s">
        <v>12</v>
      </c>
      <c r="F171" s="8"/>
    </row>
    <row r="172" spans="1:6" ht="12.75" customHeight="1" x14ac:dyDescent="0.2">
      <c r="A172" s="164">
        <v>1101004</v>
      </c>
      <c r="B172" s="165" t="s">
        <v>244</v>
      </c>
      <c r="C172" s="19">
        <f>ENERO!C172+FEBRERO!C172+MARZO!C172+ABRIL!C172+MAYO!C172+JUNIO!C172+JULIO!C172+AGOSTO!C172+SEPTIEMBRE!C172+OCTUBRE!C172+NOVIEMBRE!C172+DICIEMBRE!C172</f>
        <v>0</v>
      </c>
      <c r="D172" s="37">
        <f>+[1]BS17A!$U801</f>
        <v>12660</v>
      </c>
      <c r="E172" s="145">
        <f>ENERO!E172+FEBRERO!E172+MARZO!E172+ABRIL!E172+MAYO!E172+JUNIO!E172+JULIO!E172+AGOSTO!E172+SEPTIEMBRE!E172+OCTUBRE!E172+NOVIEMBRE!E172+DICIEMBRE!E172</f>
        <v>0</v>
      </c>
      <c r="F172" s="8"/>
    </row>
    <row r="173" spans="1:6" ht="12.75" customHeight="1" x14ac:dyDescent="0.2">
      <c r="A173" s="104">
        <v>1101006</v>
      </c>
      <c r="B173" s="166" t="s">
        <v>245</v>
      </c>
      <c r="C173" s="24">
        <f>ENERO!C173+FEBRERO!C173+MARZO!C173+ABRIL!C173+MAYO!C173+JUNIO!C173+JULIO!C173+AGOSTO!C173+SEPTIEMBRE!C173+OCTUBRE!C173+NOVIEMBRE!C173+DICIEMBRE!C173</f>
        <v>139</v>
      </c>
      <c r="D173" s="25">
        <f>+[1]BS17A!$U802</f>
        <v>10140</v>
      </c>
      <c r="E173" s="146">
        <f>ENERO!E173+FEBRERO!E173+MARZO!E173+ABRIL!E173+MAYO!E173+JUNIO!E173+JULIO!E173+AGOSTO!E173+SEPTIEMBRE!E173+OCTUBRE!E173+NOVIEMBRE!E173+DICIEMBRE!E173</f>
        <v>1441140</v>
      </c>
      <c r="F173" s="8"/>
    </row>
    <row r="174" spans="1:6" ht="24.75" customHeight="1" x14ac:dyDescent="0.2">
      <c r="A174" s="104" t="s">
        <v>246</v>
      </c>
      <c r="B174" s="167" t="s">
        <v>247</v>
      </c>
      <c r="C174" s="24">
        <f>ENERO!C174+FEBRERO!C174+MARZO!C174+ABRIL!C174+MAYO!C174+JUNIO!C174+JULIO!C174+AGOSTO!C174+SEPTIEMBRE!C174+OCTUBRE!C174+NOVIEMBRE!C174+DICIEMBRE!C174</f>
        <v>8757</v>
      </c>
      <c r="D174" s="25">
        <f>+[1]BS17A!$U1186</f>
        <v>4340</v>
      </c>
      <c r="E174" s="146">
        <f>ENERO!E174+FEBRERO!E174+MARZO!E174+ABRIL!E174+MAYO!E174+JUNIO!E174+JULIO!E174+AGOSTO!E174+SEPTIEMBRE!E174+OCTUBRE!E174+NOVIEMBRE!E174+DICIEMBRE!E174</f>
        <v>38831240</v>
      </c>
      <c r="F174" s="8"/>
    </row>
    <row r="175" spans="1:6" ht="24.75" customHeight="1" x14ac:dyDescent="0.2">
      <c r="A175" s="104" t="s">
        <v>248</v>
      </c>
      <c r="B175" s="167" t="s">
        <v>249</v>
      </c>
      <c r="C175" s="24">
        <f>ENERO!C175+FEBRERO!C175+MARZO!C175+ABRIL!C175+MAYO!C175+JUNIO!C175+JULIO!C175+AGOSTO!C175+SEPTIEMBRE!C175+OCTUBRE!C175+NOVIEMBRE!C175+DICIEMBRE!C175</f>
        <v>203</v>
      </c>
      <c r="D175" s="25">
        <f>+[1]BS17A!$U1187</f>
        <v>12240</v>
      </c>
      <c r="E175" s="146">
        <f>ENERO!E175+FEBRERO!E175+MARZO!E175+ABRIL!E175+MAYO!E175+JUNIO!E175+JULIO!E175+AGOSTO!E175+SEPTIEMBRE!E175+OCTUBRE!E175+NOVIEMBRE!E175+DICIEMBRE!E175</f>
        <v>2534320</v>
      </c>
      <c r="F175" s="8"/>
    </row>
    <row r="176" spans="1:6" ht="24.75" customHeight="1" x14ac:dyDescent="0.2">
      <c r="A176" s="104" t="s">
        <v>250</v>
      </c>
      <c r="B176" s="167" t="s">
        <v>251</v>
      </c>
      <c r="C176" s="24">
        <f>ENERO!C176+FEBRERO!C176+MARZO!C176+ABRIL!C176+MAYO!C176+JUNIO!C176+JULIO!C176+AGOSTO!C176+SEPTIEMBRE!C176+OCTUBRE!C176+NOVIEMBRE!C176+DICIEMBRE!C176</f>
        <v>330</v>
      </c>
      <c r="D176" s="25">
        <f>+[1]BS17A!$U1188</f>
        <v>20750</v>
      </c>
      <c r="E176" s="146">
        <f>ENERO!E176+FEBRERO!E176+MARZO!E176+ABRIL!E176+MAYO!E176+JUNIO!E176+JULIO!E176+AGOSTO!E176+SEPTIEMBRE!E176+OCTUBRE!E176+NOVIEMBRE!E176+DICIEMBRE!E176</f>
        <v>6983500</v>
      </c>
      <c r="F176" s="8"/>
    </row>
    <row r="177" spans="1:6" ht="12.75" customHeight="1" x14ac:dyDescent="0.2">
      <c r="A177" s="104" t="s">
        <v>252</v>
      </c>
      <c r="B177" s="167" t="s">
        <v>253</v>
      </c>
      <c r="C177" s="24">
        <f>ENERO!C177+FEBRERO!C177+MARZO!C177+ABRIL!C177+MAYO!C177+JUNIO!C177+JULIO!C177+AGOSTO!C177+SEPTIEMBRE!C177+OCTUBRE!C177+NOVIEMBRE!C177+DICIEMBRE!C177</f>
        <v>0</v>
      </c>
      <c r="D177" s="25">
        <f>+[1]BS17A!$U1189</f>
        <v>39600</v>
      </c>
      <c r="E177" s="146">
        <f>ENERO!E177+FEBRERO!E177+MARZO!E177+ABRIL!E177+MAYO!E177+JUNIO!E177+JULIO!E177+AGOSTO!E177+SEPTIEMBRE!E177+OCTUBRE!E177+NOVIEMBRE!E177+DICIEMBRE!E177</f>
        <v>0</v>
      </c>
      <c r="F177" s="8"/>
    </row>
    <row r="178" spans="1:6" ht="12.75" customHeight="1" x14ac:dyDescent="0.2">
      <c r="A178" s="104" t="s">
        <v>254</v>
      </c>
      <c r="B178" s="167" t="s">
        <v>255</v>
      </c>
      <c r="C178" s="24">
        <f>ENERO!C178+FEBRERO!C178+MARZO!C178+ABRIL!C178+MAYO!C178+JUNIO!C178+JULIO!C178+AGOSTO!C178+SEPTIEMBRE!C178+OCTUBRE!C178+NOVIEMBRE!C178+DICIEMBRE!C178</f>
        <v>739</v>
      </c>
      <c r="D178" s="25">
        <f>+[1]BS17A!$U1190</f>
        <v>44140</v>
      </c>
      <c r="E178" s="146">
        <f>ENERO!E178+FEBRERO!E178+MARZO!E178+ABRIL!E178+MAYO!E178+JUNIO!E178+JULIO!E178+AGOSTO!E178+SEPTIEMBRE!E178+OCTUBRE!E178+NOVIEMBRE!E178+DICIEMBRE!E178</f>
        <v>33286680</v>
      </c>
      <c r="F178" s="8"/>
    </row>
    <row r="179" spans="1:6" ht="24.75" customHeight="1" x14ac:dyDescent="0.2">
      <c r="A179" s="104" t="s">
        <v>256</v>
      </c>
      <c r="B179" s="167" t="s">
        <v>257</v>
      </c>
      <c r="C179" s="24">
        <f>ENERO!C179+FEBRERO!C179+MARZO!C179+ABRIL!C179+MAYO!C179+JUNIO!C179+JULIO!C179+AGOSTO!C179+SEPTIEMBRE!C179+OCTUBRE!C179+NOVIEMBRE!C179+DICIEMBRE!C179</f>
        <v>0</v>
      </c>
      <c r="D179" s="25">
        <f>+[1]BS17A!$U1191</f>
        <v>24760</v>
      </c>
      <c r="E179" s="146">
        <f>ENERO!E179+FEBRERO!E179+MARZO!E179+ABRIL!E179+MAYO!E179+JUNIO!E179+JULIO!E179+AGOSTO!E179+SEPTIEMBRE!E179+OCTUBRE!E179+NOVIEMBRE!E179+DICIEMBRE!E179</f>
        <v>0</v>
      </c>
      <c r="F179" s="8"/>
    </row>
    <row r="180" spans="1:6" ht="12.75" customHeight="1" x14ac:dyDescent="0.2">
      <c r="A180" s="104" t="s">
        <v>258</v>
      </c>
      <c r="B180" s="156" t="s">
        <v>259</v>
      </c>
      <c r="C180" s="24">
        <f>ENERO!C180+FEBRERO!C180+MARZO!C180+ABRIL!C180+MAYO!C180+JUNIO!C180+JULIO!C180+AGOSTO!C180+SEPTIEMBRE!C180+OCTUBRE!C180+NOVIEMBRE!C180+DICIEMBRE!C180</f>
        <v>0</v>
      </c>
      <c r="D180" s="25">
        <f>+[1]BS17A!$U1192</f>
        <v>191590</v>
      </c>
      <c r="E180" s="146">
        <f>ENERO!E180+FEBRERO!E180+MARZO!E180+ABRIL!E180+MAYO!E180+JUNIO!E180+JULIO!E180+AGOSTO!E180+SEPTIEMBRE!E180+OCTUBRE!E180+NOVIEMBRE!E180+DICIEMBRE!E180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24">
        <f>ENERO!C181+FEBRERO!C181+MARZO!C181+ABRIL!C181+MAYO!C181+JUNIO!C181+JULIO!C181+AGOSTO!C181+SEPTIEMBRE!C181+OCTUBRE!C181+NOVIEMBRE!C181+DICIEMBRE!C181</f>
        <v>0</v>
      </c>
      <c r="D181" s="25">
        <f>+[1]BS17A!$U1193</f>
        <v>217800</v>
      </c>
      <c r="E181" s="146">
        <f>ENERO!E181+FEBRERO!E181+MARZO!E181+ABRIL!E181+MAYO!E181+JUNIO!E181+JULIO!E181+AGOSTO!E181+SEPTIEMBRE!E181+OCTUBRE!E181+NOVIEMBRE!E181+DICIEMBRE!E181</f>
        <v>0</v>
      </c>
      <c r="F181" s="8"/>
    </row>
    <row r="182" spans="1:6" ht="12.75" customHeight="1" x14ac:dyDescent="0.2">
      <c r="A182" s="104" t="s">
        <v>262</v>
      </c>
      <c r="B182" s="167" t="s">
        <v>263</v>
      </c>
      <c r="C182" s="24">
        <f>ENERO!C182+FEBRERO!C182+MARZO!C182+ABRIL!C182+MAYO!C182+JUNIO!C182+JULIO!C182+AGOSTO!C182+SEPTIEMBRE!C182+OCTUBRE!C182+NOVIEMBRE!C182+DICIEMBRE!C182</f>
        <v>0</v>
      </c>
      <c r="D182" s="25">
        <f>+[1]BS17A!$U1194</f>
        <v>177610</v>
      </c>
      <c r="E182" s="146">
        <f>ENERO!E182+FEBRERO!E182+MARZO!E182+ABRIL!E182+MAYO!E182+JUNIO!E182+JULIO!E182+AGOSTO!E182+SEPTIEMBRE!E182+OCTUBRE!E182+NOVIEMBRE!E182+DICIEMBRE!E182</f>
        <v>0</v>
      </c>
      <c r="F182" s="8"/>
    </row>
    <row r="183" spans="1:6" ht="24.75" customHeight="1" x14ac:dyDescent="0.2">
      <c r="A183" s="104" t="s">
        <v>264</v>
      </c>
      <c r="B183" s="156" t="s">
        <v>265</v>
      </c>
      <c r="C183" s="24">
        <f>ENERO!C183+FEBRERO!C183+MARZO!C183+ABRIL!C183+MAYO!C183+JUNIO!C183+JULIO!C183+AGOSTO!C183+SEPTIEMBRE!C183+OCTUBRE!C183+NOVIEMBRE!C183+DICIEMBRE!C183</f>
        <v>0</v>
      </c>
      <c r="D183" s="25">
        <f>+[1]BS17A!$U1195</f>
        <v>228130</v>
      </c>
      <c r="E183" s="146">
        <f>ENERO!E183+FEBRERO!E183+MARZO!E183+ABRIL!E183+MAYO!E183+JUNIO!E183+JULIO!E183+AGOSTO!E183+SEPTIEMBRE!E183+OCTUBRE!E183+NOVIEMBRE!E183+DICIEMBRE!E183</f>
        <v>0</v>
      </c>
      <c r="F183" s="8"/>
    </row>
    <row r="184" spans="1:6" ht="24.75" customHeight="1" x14ac:dyDescent="0.2">
      <c r="A184" s="104" t="s">
        <v>266</v>
      </c>
      <c r="B184" s="156" t="s">
        <v>267</v>
      </c>
      <c r="C184" s="24">
        <f>ENERO!C184+FEBRERO!C184+MARZO!C184+ABRIL!C184+MAYO!C184+JUNIO!C184+JULIO!C184+AGOSTO!C184+SEPTIEMBRE!C184+OCTUBRE!C184+NOVIEMBRE!C184+DICIEMBRE!C184</f>
        <v>0</v>
      </c>
      <c r="D184" s="25">
        <f>+[1]BS17A!$U1196</f>
        <v>233440</v>
      </c>
      <c r="E184" s="146">
        <f>ENERO!E184+FEBRERO!E184+MARZO!E184+ABRIL!E184+MAYO!E184+JUNIO!E184+JULIO!E184+AGOSTO!E184+SEPTIEMBRE!E184+OCTUBRE!E184+NOVIEMBRE!E184+DICIEMBRE!E184</f>
        <v>0</v>
      </c>
      <c r="F184" s="8"/>
    </row>
    <row r="185" spans="1:6" ht="24.75" customHeight="1" x14ac:dyDescent="0.2">
      <c r="A185" s="104" t="s">
        <v>268</v>
      </c>
      <c r="B185" s="156" t="s">
        <v>269</v>
      </c>
      <c r="C185" s="24">
        <f>ENERO!C185+FEBRERO!C185+MARZO!C185+ABRIL!C185+MAYO!C185+JUNIO!C185+JULIO!C185+AGOSTO!C185+SEPTIEMBRE!C185+OCTUBRE!C185+NOVIEMBRE!C185+DICIEMBRE!C185</f>
        <v>0</v>
      </c>
      <c r="D185" s="25">
        <f>+[1]BS17A!$U1197</f>
        <v>197410</v>
      </c>
      <c r="E185" s="146">
        <f>ENERO!E185+FEBRERO!E185+MARZO!E185+ABRIL!E185+MAYO!E185+JUNIO!E185+JULIO!E185+AGOSTO!E185+SEPTIEMBRE!E185+OCTUBRE!E185+NOVIEMBRE!E185+DICIEMBRE!E185</f>
        <v>0</v>
      </c>
      <c r="F185" s="8"/>
    </row>
    <row r="186" spans="1:6" ht="12.75" customHeight="1" x14ac:dyDescent="0.2">
      <c r="A186" s="104" t="s">
        <v>270</v>
      </c>
      <c r="B186" s="156" t="s">
        <v>271</v>
      </c>
      <c r="C186" s="24">
        <f>ENERO!C186+FEBRERO!C186+MARZO!C186+ABRIL!C186+MAYO!C186+JUNIO!C186+JULIO!C186+AGOSTO!C186+SEPTIEMBRE!C186+OCTUBRE!C186+NOVIEMBRE!C186+DICIEMBRE!C186</f>
        <v>0</v>
      </c>
      <c r="D186" s="25">
        <f>+[1]BS17A!$U1198</f>
        <v>210720</v>
      </c>
      <c r="E186" s="146">
        <f>ENERO!E186+FEBRERO!E186+MARZO!E186+ABRIL!E186+MAYO!E186+JUNIO!E186+JULIO!E186+AGOSTO!E186+SEPTIEMBRE!E186+OCTUBRE!E186+NOVIEMBRE!E186+DICIEMBRE!E186</f>
        <v>0</v>
      </c>
      <c r="F186" s="8"/>
    </row>
    <row r="187" spans="1:6" ht="12.75" customHeight="1" x14ac:dyDescent="0.2">
      <c r="A187" s="104" t="s">
        <v>272</v>
      </c>
      <c r="B187" s="156" t="s">
        <v>273</v>
      </c>
      <c r="C187" s="24">
        <f>ENERO!C187+FEBRERO!C187+MARZO!C187+ABRIL!C187+MAYO!C187+JUNIO!C187+JULIO!C187+AGOSTO!C187+SEPTIEMBRE!C187+OCTUBRE!C187+NOVIEMBRE!C187+DICIEMBRE!C187</f>
        <v>0</v>
      </c>
      <c r="D187" s="25">
        <f>+[1]BS17A!$U1199</f>
        <v>251960</v>
      </c>
      <c r="E187" s="146">
        <f>ENERO!E187+FEBRERO!E187+MARZO!E187+ABRIL!E187+MAYO!E187+JUNIO!E187+JULIO!E187+AGOSTO!E187+SEPTIEMBRE!E187+OCTUBRE!E187+NOVIEMBRE!E187+DICIEMBRE!E187</f>
        <v>0</v>
      </c>
      <c r="F187" s="8"/>
    </row>
    <row r="188" spans="1:6" ht="24.75" customHeight="1" x14ac:dyDescent="0.2">
      <c r="A188" s="104" t="s">
        <v>274</v>
      </c>
      <c r="B188" s="167" t="s">
        <v>275</v>
      </c>
      <c r="C188" s="24">
        <f>ENERO!C188+FEBRERO!C188+MARZO!C188+ABRIL!C188+MAYO!C188+JUNIO!C188+JULIO!C188+AGOSTO!C188+SEPTIEMBRE!C188+OCTUBRE!C188+NOVIEMBRE!C188+DICIEMBRE!C188</f>
        <v>0</v>
      </c>
      <c r="D188" s="25">
        <f>+[1]BS17A!$U1200</f>
        <v>223440</v>
      </c>
      <c r="E188" s="146">
        <f>ENERO!E188+FEBRERO!E188+MARZO!E188+ABRIL!E188+MAYO!E188+JUNIO!E188+JULIO!E188+AGOSTO!E188+SEPTIEMBRE!E188+OCTUBRE!E188+NOVIEMBRE!E188+DICIEMBRE!E188</f>
        <v>0</v>
      </c>
      <c r="F188" s="8"/>
    </row>
    <row r="189" spans="1:6" ht="24.75" customHeight="1" x14ac:dyDescent="0.2">
      <c r="A189" s="104" t="s">
        <v>276</v>
      </c>
      <c r="B189" s="156" t="s">
        <v>277</v>
      </c>
      <c r="C189" s="24">
        <f>ENERO!C189+FEBRERO!C189+MARZO!C189+ABRIL!C189+MAYO!C189+JUNIO!C189+JULIO!C189+AGOSTO!C189+SEPTIEMBRE!C189+OCTUBRE!C189+NOVIEMBRE!C189+DICIEMBRE!C189</f>
        <v>0</v>
      </c>
      <c r="D189" s="25">
        <f>+[1]BS17A!$U1201</f>
        <v>1635110</v>
      </c>
      <c r="E189" s="146">
        <f>ENERO!E189+FEBRERO!E189+MARZO!E189+ABRIL!E189+MAYO!E189+JUNIO!E189+JULIO!E189+AGOSTO!E189+SEPTIEMBRE!E189+OCTUBRE!E189+NOVIEMBRE!E189+DICIEMBRE!E189</f>
        <v>0</v>
      </c>
      <c r="F189" s="8"/>
    </row>
    <row r="190" spans="1:6" ht="12.75" customHeight="1" x14ac:dyDescent="0.2">
      <c r="A190" s="104" t="s">
        <v>278</v>
      </c>
      <c r="B190" s="156" t="s">
        <v>279</v>
      </c>
      <c r="C190" s="24">
        <f>ENERO!C190+FEBRERO!C190+MARZO!C190+ABRIL!C190+MAYO!C190+JUNIO!C190+JULIO!C190+AGOSTO!C190+SEPTIEMBRE!C190+OCTUBRE!C190+NOVIEMBRE!C190+DICIEMBRE!C190</f>
        <v>0</v>
      </c>
      <c r="D190" s="25">
        <f>+[1]BS17A!$U1202</f>
        <v>1021290</v>
      </c>
      <c r="E190" s="146">
        <f>ENERO!E190+FEBRERO!E190+MARZO!E190+ABRIL!E190+MAYO!E190+JUNIO!E190+JULIO!E190+AGOSTO!E190+SEPTIEMBRE!E190+OCTUBRE!E190+NOVIEMBRE!E190+DICIEMBRE!E190</f>
        <v>0</v>
      </c>
      <c r="F190" s="8"/>
    </row>
    <row r="191" spans="1:6" ht="12.75" customHeight="1" x14ac:dyDescent="0.2">
      <c r="A191" s="22" t="s">
        <v>280</v>
      </c>
      <c r="B191" s="156" t="s">
        <v>281</v>
      </c>
      <c r="C191" s="24">
        <f>ENERO!C191+FEBRERO!C191+MARZO!C191+ABRIL!C191+MAYO!C191+JUNIO!C191+JULIO!C191+AGOSTO!C191+SEPTIEMBRE!C191+OCTUBRE!C191+NOVIEMBRE!C191+DICIEMBRE!C191</f>
        <v>0</v>
      </c>
      <c r="D191" s="25">
        <f>+[1]BS17A!$U1203</f>
        <v>988490</v>
      </c>
      <c r="E191" s="146">
        <f>ENERO!E191+FEBRERO!E191+MARZO!E191+ABRIL!E191+MAYO!E191+JUNIO!E191+JULIO!E191+AGOSTO!E191+SEPTIEMBRE!E191+OCTUBRE!E191+NOVIEMBRE!E191+DICIEMBRE!E191</f>
        <v>0</v>
      </c>
      <c r="F191" s="8"/>
    </row>
    <row r="192" spans="1:6" ht="24.75" customHeight="1" x14ac:dyDescent="0.2">
      <c r="A192" s="104" t="s">
        <v>282</v>
      </c>
      <c r="B192" s="156" t="s">
        <v>283</v>
      </c>
      <c r="C192" s="24">
        <f>ENERO!C192+FEBRERO!C192+MARZO!C192+ABRIL!C192+MAYO!C192+JUNIO!C192+JULIO!C192+AGOSTO!C192+SEPTIEMBRE!C192+OCTUBRE!C192+NOVIEMBRE!C192+DICIEMBRE!C192</f>
        <v>0</v>
      </c>
      <c r="D192" s="25">
        <f>+[1]BS17A!$U1204</f>
        <v>1035570</v>
      </c>
      <c r="E192" s="146">
        <f>ENERO!E192+FEBRERO!E192+MARZO!E192+ABRIL!E192+MAYO!E192+JUNIO!E192+JULIO!E192+AGOSTO!E192+SEPTIEMBRE!E192+OCTUBRE!E192+NOVIEMBRE!E192+DICIEMBRE!E192</f>
        <v>0</v>
      </c>
      <c r="F192" s="8"/>
    </row>
    <row r="193" spans="1:6" ht="12.75" customHeight="1" x14ac:dyDescent="0.2">
      <c r="A193" s="22" t="s">
        <v>284</v>
      </c>
      <c r="B193" s="156" t="s">
        <v>285</v>
      </c>
      <c r="C193" s="24">
        <f>ENERO!C193+FEBRERO!C193+MARZO!C193+ABRIL!C193+MAYO!C193+JUNIO!C193+JULIO!C193+AGOSTO!C193+SEPTIEMBRE!C193+OCTUBRE!C193+NOVIEMBRE!C193+DICIEMBRE!C193</f>
        <v>0</v>
      </c>
      <c r="D193" s="25">
        <f>+[1]BS17A!$U1205</f>
        <v>146540</v>
      </c>
      <c r="E193" s="146">
        <f>ENERO!E193+FEBRERO!E193+MARZO!E193+ABRIL!E193+MAYO!E193+JUNIO!E193+JULIO!E193+AGOSTO!E193+SEPTIEMBRE!E193+OCTUBRE!E193+NOVIEMBRE!E193+DICIEMBRE!E193</f>
        <v>0</v>
      </c>
      <c r="F193" s="8"/>
    </row>
    <row r="194" spans="1:6" ht="12.75" customHeight="1" x14ac:dyDescent="0.2">
      <c r="A194" s="22" t="s">
        <v>286</v>
      </c>
      <c r="B194" s="156" t="s">
        <v>287</v>
      </c>
      <c r="C194" s="24">
        <f>ENERO!C194+FEBRERO!C194+MARZO!C194+ABRIL!C194+MAYO!C194+JUNIO!C194+JULIO!C194+AGOSTO!C194+SEPTIEMBRE!C194+OCTUBRE!C194+NOVIEMBRE!C194+DICIEMBRE!C194</f>
        <v>0</v>
      </c>
      <c r="D194" s="25">
        <f>+[1]BS17A!$U1206</f>
        <v>334400</v>
      </c>
      <c r="E194" s="146">
        <f>ENERO!E194+FEBRERO!E194+MARZO!E194+ABRIL!E194+MAYO!E194+JUNIO!E194+JULIO!E194+AGOSTO!E194+SEPTIEMBRE!E194+OCTUBRE!E194+NOVIEMBRE!E194+DICIEMBRE!E194</f>
        <v>0</v>
      </c>
      <c r="F194" s="8"/>
    </row>
    <row r="195" spans="1:6" ht="12.75" customHeight="1" x14ac:dyDescent="0.2">
      <c r="A195" s="104" t="s">
        <v>288</v>
      </c>
      <c r="B195" s="156" t="s">
        <v>289</v>
      </c>
      <c r="C195" s="24">
        <f>ENERO!C195+FEBRERO!C195+MARZO!C195+ABRIL!C195+MAYO!C195+JUNIO!C195+JULIO!C195+AGOSTO!C195+SEPTIEMBRE!C195+OCTUBRE!C195+NOVIEMBRE!C195+DICIEMBRE!C195</f>
        <v>0</v>
      </c>
      <c r="D195" s="25">
        <f>+[1]BS17A!$U1207</f>
        <v>123970</v>
      </c>
      <c r="E195" s="146">
        <f>ENERO!E195+FEBRERO!E195+MARZO!E195+ABRIL!E195+MAYO!E195+JUNIO!E195+JULIO!E195+AGOSTO!E195+SEPTIEMBRE!E195+OCTUBRE!E195+NOVIEMBRE!E195+DICIEMBRE!E195</f>
        <v>0</v>
      </c>
      <c r="F195" s="8"/>
    </row>
    <row r="196" spans="1:6" ht="12.75" customHeight="1" x14ac:dyDescent="0.2">
      <c r="A196" s="104" t="s">
        <v>290</v>
      </c>
      <c r="B196" s="156" t="s">
        <v>291</v>
      </c>
      <c r="C196" s="24">
        <f>ENERO!C196+FEBRERO!C196+MARZO!C196+ABRIL!C196+MAYO!C196+JUNIO!C196+JULIO!C196+AGOSTO!C196+SEPTIEMBRE!C196+OCTUBRE!C196+NOVIEMBRE!C196+DICIEMBRE!C196</f>
        <v>0</v>
      </c>
      <c r="D196" s="25">
        <f>+[1]BS17A!$U1208</f>
        <v>1004460</v>
      </c>
      <c r="E196" s="146">
        <f>ENERO!E196+FEBRERO!E196+MARZO!E196+ABRIL!E196+MAYO!E196+JUNIO!E196+JULIO!E196+AGOSTO!E196+SEPTIEMBRE!E196+OCTUBRE!E196+NOVIEMBRE!E196+DICIEMBRE!E196</f>
        <v>0</v>
      </c>
      <c r="F196" s="8"/>
    </row>
    <row r="197" spans="1:6" ht="12.75" customHeight="1" x14ac:dyDescent="0.2">
      <c r="A197" s="104" t="s">
        <v>292</v>
      </c>
      <c r="B197" s="156" t="s">
        <v>293</v>
      </c>
      <c r="C197" s="24">
        <f>ENERO!C197+FEBRERO!C197+MARZO!C197+ABRIL!C197+MAYO!C197+JUNIO!C197+JULIO!C197+AGOSTO!C197+SEPTIEMBRE!C197+OCTUBRE!C197+NOVIEMBRE!C197+DICIEMBRE!C197</f>
        <v>0</v>
      </c>
      <c r="D197" s="25">
        <f>+[1]BS17A!$U1209</f>
        <v>1004460</v>
      </c>
      <c r="E197" s="146">
        <f>ENERO!E197+FEBRERO!E197+MARZO!E197+ABRIL!E197+MAYO!E197+JUNIO!E197+JULIO!E197+AGOSTO!E197+SEPTIEMBRE!E197+OCTUBRE!E197+NOVIEMBRE!E197+DICIEMBRE!E197</f>
        <v>0</v>
      </c>
      <c r="F197" s="8"/>
    </row>
    <row r="198" spans="1:6" ht="12.75" customHeight="1" x14ac:dyDescent="0.2">
      <c r="A198" s="104">
        <v>1801001</v>
      </c>
      <c r="B198" s="166" t="s">
        <v>294</v>
      </c>
      <c r="C198" s="24">
        <f>ENERO!C198+FEBRERO!C198+MARZO!C198+ABRIL!C198+MAYO!C198+JUNIO!C198+JULIO!C198+AGOSTO!C198+SEPTIEMBRE!C198+OCTUBRE!C198+NOVIEMBRE!C198+DICIEMBRE!C198</f>
        <v>344</v>
      </c>
      <c r="D198" s="25">
        <f>+[1]BS17A!$U1343</f>
        <v>29960</v>
      </c>
      <c r="E198" s="146">
        <f>ENERO!E198+FEBRERO!E198+MARZO!E198+ABRIL!E198+MAYO!E198+JUNIO!E198+JULIO!E198+AGOSTO!E198+SEPTIEMBRE!E198+OCTUBRE!E198+NOVIEMBRE!E198+DICIEMBRE!E198</f>
        <v>10509190</v>
      </c>
      <c r="F198" s="8"/>
    </row>
    <row r="199" spans="1:6" ht="12.75" customHeight="1" x14ac:dyDescent="0.2">
      <c r="A199" s="104">
        <v>1801003</v>
      </c>
      <c r="B199" s="156" t="s">
        <v>295</v>
      </c>
      <c r="C199" s="24">
        <f>ENERO!C199+FEBRERO!C199+MARZO!C199+ABRIL!C199+MAYO!C199+JUNIO!C199+JULIO!C199+AGOSTO!C199+SEPTIEMBRE!C199+OCTUBRE!C199+NOVIEMBRE!C199+DICIEMBRE!C199</f>
        <v>1</v>
      </c>
      <c r="D199" s="25">
        <f>+[1]BS17A!$U1344</f>
        <v>36140</v>
      </c>
      <c r="E199" s="146">
        <f>ENERO!E199+FEBRERO!E199+MARZO!E199+ABRIL!E199+MAYO!E199+JUNIO!E199+JULIO!E199+AGOSTO!E199+SEPTIEMBRE!E199+OCTUBRE!E199+NOVIEMBRE!E199+DICIEMBRE!E199</f>
        <v>36140</v>
      </c>
      <c r="F199" s="8"/>
    </row>
    <row r="200" spans="1:6" ht="12.75" customHeight="1" x14ac:dyDescent="0.2">
      <c r="A200" s="104">
        <v>1801006</v>
      </c>
      <c r="B200" s="166" t="s">
        <v>296</v>
      </c>
      <c r="C200" s="24">
        <f>ENERO!C200+FEBRERO!C200+MARZO!C200+ABRIL!C200+MAYO!C200+JUNIO!C200+JULIO!C200+AGOSTO!C200+SEPTIEMBRE!C200+OCTUBRE!C200+NOVIEMBRE!C200+DICIEMBRE!C200</f>
        <v>51</v>
      </c>
      <c r="D200" s="25">
        <f>+[1]BS17A!$U1345</f>
        <v>38490</v>
      </c>
      <c r="E200" s="146">
        <f>ENERO!E200+FEBRERO!E200+MARZO!E200+ABRIL!E200+MAYO!E200+JUNIO!E200+JULIO!E200+AGOSTO!E200+SEPTIEMBRE!E200+OCTUBRE!E200+NOVIEMBRE!E200+DICIEMBRE!E200</f>
        <v>2011250</v>
      </c>
      <c r="F200" s="8"/>
    </row>
    <row r="201" spans="1:6" ht="24.75" customHeight="1" x14ac:dyDescent="0.2">
      <c r="A201" s="104" t="s">
        <v>297</v>
      </c>
      <c r="B201" s="166" t="s">
        <v>298</v>
      </c>
      <c r="C201" s="24">
        <f>ENERO!C201+FEBRERO!C201+MARZO!C201+ABRIL!C201+MAYO!C201+JUNIO!C201+JULIO!C201+AGOSTO!C201+SEPTIEMBRE!C201+OCTUBRE!C201+NOVIEMBRE!C201+DICIEMBRE!C201</f>
        <v>2</v>
      </c>
      <c r="D201" s="25">
        <f>[1]BS17A!U1032</f>
        <v>8100</v>
      </c>
      <c r="E201" s="146">
        <f>ENERO!E201+FEBRERO!E201+MARZO!E201+ABRIL!E201+MAYO!E201+JUNIO!E201+JULIO!E201+AGOSTO!E201+SEPTIEMBRE!E201+OCTUBRE!E201+NOVIEMBRE!E201+DICIEMBRE!E201</f>
        <v>16740</v>
      </c>
      <c r="F201" s="8"/>
    </row>
    <row r="202" spans="1:6" ht="24.75" customHeight="1" x14ac:dyDescent="0.2">
      <c r="A202" s="168" t="s">
        <v>299</v>
      </c>
      <c r="B202" s="169" t="s">
        <v>300</v>
      </c>
      <c r="C202" s="88">
        <f>ENERO!C202+FEBRERO!C202+MARZO!C202+ABRIL!C202+MAYO!C202+JUNIO!C202+JULIO!C202+AGOSTO!C202+SEPTIEMBRE!C202+OCTUBRE!C202+NOVIEMBRE!C202+DICIEMBRE!C202</f>
        <v>0</v>
      </c>
      <c r="D202" s="170">
        <f>[1]BS17A!U803</f>
        <v>343800</v>
      </c>
      <c r="E202" s="171">
        <f>ENERO!E202+FEBRERO!E202+MARZO!E202+ABRIL!E202+MAYO!E202+JUNIO!E202+JULIO!E202+AGOSTO!E202+SEPTIEMBRE!E202+OCTUBRE!E202+NOVIEMBRE!E202+DICIEMBRE!E202</f>
        <v>0</v>
      </c>
      <c r="F202" s="8"/>
    </row>
    <row r="203" spans="1:6" ht="17.25" customHeight="1" x14ac:dyDescent="0.2">
      <c r="A203" s="130"/>
      <c r="B203" s="131" t="s">
        <v>301</v>
      </c>
      <c r="C203" s="44">
        <f>SUM(C172:C202)</f>
        <v>10566</v>
      </c>
      <c r="D203" s="151"/>
      <c r="E203" s="152">
        <f>SUM(E172:E202)</f>
        <v>95650200</v>
      </c>
      <c r="F203" s="8"/>
    </row>
    <row r="204" spans="1:6" ht="21.75" customHeight="1" x14ac:dyDescent="0.2">
      <c r="A204" s="8"/>
      <c r="B204" s="8"/>
      <c r="C204" s="8"/>
      <c r="D204" s="8"/>
      <c r="E204" s="8"/>
      <c r="F204" s="8"/>
    </row>
    <row r="205" spans="1:6" ht="19.5" customHeight="1" x14ac:dyDescent="0.2">
      <c r="A205" s="8"/>
      <c r="B205" s="8"/>
      <c r="C205" s="8"/>
      <c r="D205" s="8"/>
      <c r="E205" s="8"/>
      <c r="F205" s="8"/>
    </row>
    <row r="206" spans="1:6" ht="18" customHeight="1" x14ac:dyDescent="0.2">
      <c r="A206" s="256" t="s">
        <v>302</v>
      </c>
      <c r="B206" s="252"/>
      <c r="C206" s="252"/>
      <c r="D206" s="252"/>
      <c r="E206" s="253"/>
      <c r="F206" s="5"/>
    </row>
    <row r="207" spans="1:6" ht="39.75" customHeight="1" x14ac:dyDescent="0.2">
      <c r="A207" s="11" t="s">
        <v>8</v>
      </c>
      <c r="B207" s="11" t="s">
        <v>9</v>
      </c>
      <c r="C207" s="15" t="s">
        <v>10</v>
      </c>
      <c r="D207" s="13" t="s">
        <v>11</v>
      </c>
      <c r="E207" s="16" t="s">
        <v>12</v>
      </c>
      <c r="F207" s="5"/>
    </row>
    <row r="208" spans="1:6" ht="12.75" customHeight="1" x14ac:dyDescent="0.2">
      <c r="A208" s="17" t="s">
        <v>303</v>
      </c>
      <c r="B208" s="42" t="s">
        <v>304</v>
      </c>
      <c r="C208" s="19">
        <f>ENERO!C208+FEBRERO!C208+MARZO!C208+ABRIL!C208+MAYO!C208+JUNIO!C208+JULIO!C208+AGOSTO!C208+SEPTIEMBRE!C208+OCTUBRE!C208+NOVIEMBRE!C208+DICIEMBRE!C208</f>
        <v>0</v>
      </c>
      <c r="D208" s="37">
        <f>+[1]BS17A!$U18</f>
        <v>12540</v>
      </c>
      <c r="E208" s="145">
        <f>ENERO!E208+FEBRERO!E208+MARZO!E208+ABRIL!E208+MAYO!E208+JUNIO!E208+JULIO!E208+AGOSTO!E208+SEPTIEMBRE!E208+OCTUBRE!E208+NOVIEMBRE!E208+DICIEMBRE!E208</f>
        <v>0</v>
      </c>
      <c r="F208" s="8"/>
    </row>
    <row r="209" spans="1:6" ht="12.75" customHeight="1" x14ac:dyDescent="0.2">
      <c r="A209" s="22" t="s">
        <v>305</v>
      </c>
      <c r="B209" s="23" t="s">
        <v>306</v>
      </c>
      <c r="C209" s="24">
        <f>ENERO!C209+FEBRERO!C209+MARZO!C209+ABRIL!C209+MAYO!C209+JUNIO!C209+JULIO!C209+AGOSTO!C209+SEPTIEMBRE!C209+OCTUBRE!C209+NOVIEMBRE!C209+DICIEMBRE!C209</f>
        <v>1107</v>
      </c>
      <c r="D209" s="25">
        <f>+[1]BS17A!$U19</f>
        <v>12540</v>
      </c>
      <c r="E209" s="146">
        <f>ENERO!E209+FEBRERO!E209+MARZO!E209+ABRIL!E209+MAYO!E209+JUNIO!E209+JULIO!E209+AGOSTO!E209+SEPTIEMBRE!E209+OCTUBRE!E209+NOVIEMBRE!E209+DICIEMBRE!E209</f>
        <v>14106460</v>
      </c>
      <c r="F209" s="8"/>
    </row>
    <row r="210" spans="1:6" ht="12.75" customHeight="1" x14ac:dyDescent="0.2">
      <c r="A210" s="22" t="s">
        <v>307</v>
      </c>
      <c r="B210" s="28" t="s">
        <v>308</v>
      </c>
      <c r="C210" s="24">
        <f>ENERO!C210+FEBRERO!C210+MARZO!C210+ABRIL!C210+MAYO!C210+JUNIO!C210+JULIO!C210+AGOSTO!C210+SEPTIEMBRE!C210+OCTUBRE!C210+NOVIEMBRE!C210+DICIEMBRE!C210</f>
        <v>0</v>
      </c>
      <c r="D210" s="25">
        <f>+[1]BS17A!$U47</f>
        <v>1200</v>
      </c>
      <c r="E210" s="146">
        <f>ENERO!E210+FEBRERO!E210+MARZO!E210+ABRIL!E210+MAYO!E210+JUNIO!E210+JULIO!E210+AGOSTO!E210+SEPTIEMBRE!E210+OCTUBRE!E210+NOVIEMBRE!E210+DICIEMBRE!E210</f>
        <v>0</v>
      </c>
      <c r="F210" s="8"/>
    </row>
    <row r="211" spans="1:6" ht="12.75" customHeight="1" x14ac:dyDescent="0.2">
      <c r="A211" s="22" t="s">
        <v>309</v>
      </c>
      <c r="B211" s="28" t="s">
        <v>310</v>
      </c>
      <c r="C211" s="24">
        <f>ENERO!C211+FEBRERO!C211+MARZO!C211+ABRIL!C211+MAYO!C211+JUNIO!C211+JULIO!C211+AGOSTO!C211+SEPTIEMBRE!C211+OCTUBRE!C211+NOVIEMBRE!C211+DICIEMBRE!C211</f>
        <v>5427</v>
      </c>
      <c r="D211" s="25">
        <f>+[1]BS17A!$U48</f>
        <v>580</v>
      </c>
      <c r="E211" s="146">
        <f>ENERO!E211+FEBRERO!E211+MARZO!E211+ABRIL!E211+MAYO!E211+JUNIO!E211+JULIO!E211+AGOSTO!E211+SEPTIEMBRE!E211+OCTUBRE!E211+NOVIEMBRE!E211+DICIEMBRE!E211</f>
        <v>3216720</v>
      </c>
      <c r="F211" s="8"/>
    </row>
    <row r="212" spans="1:6" ht="12.75" customHeight="1" x14ac:dyDescent="0.2">
      <c r="A212" s="22" t="s">
        <v>311</v>
      </c>
      <c r="B212" s="23" t="s">
        <v>312</v>
      </c>
      <c r="C212" s="24">
        <f>ENERO!C212+FEBRERO!C212+MARZO!C212+ABRIL!C212+MAYO!C212+JUNIO!C212+JULIO!C212+AGOSTO!C212+SEPTIEMBRE!C212+OCTUBRE!C212+NOVIEMBRE!C212+DICIEMBRE!C212</f>
        <v>10167</v>
      </c>
      <c r="D212" s="25">
        <f>+[1]BS17A!$U49</f>
        <v>1780</v>
      </c>
      <c r="E212" s="146">
        <f>ENERO!E212+FEBRERO!E212+MARZO!E212+ABRIL!E212+MAYO!E212+JUNIO!E212+JULIO!E212+AGOSTO!E212+SEPTIEMBRE!E212+OCTUBRE!E212+NOVIEMBRE!E212+DICIEMBRE!E212</f>
        <v>18490140</v>
      </c>
      <c r="F212" s="8"/>
    </row>
    <row r="213" spans="1:6" ht="12.75" customHeight="1" x14ac:dyDescent="0.2">
      <c r="A213" s="22" t="s">
        <v>313</v>
      </c>
      <c r="B213" s="23" t="s">
        <v>314</v>
      </c>
      <c r="C213" s="24">
        <f>ENERO!C213+FEBRERO!C213+MARZO!C213+ABRIL!C213+MAYO!C213+JUNIO!C213+JULIO!C213+AGOSTO!C213+SEPTIEMBRE!C213+OCTUBRE!C213+NOVIEMBRE!C213+DICIEMBRE!C213</f>
        <v>496</v>
      </c>
      <c r="D213" s="25">
        <f>+[1]BS17A!$U50</f>
        <v>13350</v>
      </c>
      <c r="E213" s="146">
        <f>ENERO!E213+FEBRERO!E213+MARZO!E213+ABRIL!E213+MAYO!E213+JUNIO!E213+JULIO!E213+AGOSTO!E213+SEPTIEMBRE!E213+OCTUBRE!E213+NOVIEMBRE!E213+DICIEMBRE!E213</f>
        <v>6771640</v>
      </c>
      <c r="F213" s="8"/>
    </row>
    <row r="214" spans="1:6" ht="12.75" customHeight="1" x14ac:dyDescent="0.2">
      <c r="A214" s="22" t="s">
        <v>315</v>
      </c>
      <c r="B214" s="28" t="s">
        <v>316</v>
      </c>
      <c r="C214" s="24">
        <f>ENERO!C214+FEBRERO!C214+MARZO!C214+ABRIL!C214+MAYO!C214+JUNIO!C214+JULIO!C214+AGOSTO!C214+SEPTIEMBRE!C214+OCTUBRE!C214+NOVIEMBRE!C214+DICIEMBRE!C214</f>
        <v>876</v>
      </c>
      <c r="D214" s="25">
        <f>+[1]BS17A!$U51</f>
        <v>30660</v>
      </c>
      <c r="E214" s="146">
        <f>ENERO!E214+FEBRERO!E214+MARZO!E214+ABRIL!E214+MAYO!E214+JUNIO!E214+JULIO!E214+AGOSTO!E214+SEPTIEMBRE!E214+OCTUBRE!E214+NOVIEMBRE!E214+DICIEMBRE!E214</f>
        <v>27366190</v>
      </c>
      <c r="F214" s="8"/>
    </row>
    <row r="215" spans="1:6" ht="12.75" customHeight="1" x14ac:dyDescent="0.2">
      <c r="A215" s="104" t="s">
        <v>317</v>
      </c>
      <c r="B215" s="28" t="s">
        <v>318</v>
      </c>
      <c r="C215" s="24">
        <f>ENERO!C215+FEBRERO!C215+MARZO!C215+ABRIL!C215+MAYO!C215+JUNIO!C215+JULIO!C215+AGOSTO!C215+SEPTIEMBRE!C215+OCTUBRE!C215+NOVIEMBRE!C215+DICIEMBRE!C215</f>
        <v>188</v>
      </c>
      <c r="D215" s="172"/>
      <c r="E215" s="146">
        <f>ENERO!E215+FEBRERO!E215+MARZO!E215+ABRIL!E215+MAYO!E215+JUNIO!E215+JULIO!E215+AGOSTO!E215+SEPTIEMBRE!E215+OCTUBRE!E215+NOVIEMBRE!E215+DICIEMBRE!E215</f>
        <v>1471950</v>
      </c>
      <c r="F215" s="8"/>
    </row>
    <row r="216" spans="1:6" ht="12.75" customHeight="1" x14ac:dyDescent="0.2">
      <c r="A216" s="29" t="s">
        <v>319</v>
      </c>
      <c r="B216" s="43" t="s">
        <v>320</v>
      </c>
      <c r="C216" s="31">
        <f>ENERO!C216+FEBRERO!C216+MARZO!C216+ABRIL!C216+MAYO!C216+JUNIO!C216+JULIO!C216+AGOSTO!C216+SEPTIEMBRE!C216+OCTUBRE!C216+NOVIEMBRE!C216+DICIEMBRE!C216</f>
        <v>548</v>
      </c>
      <c r="D216" s="40">
        <f>+[1]BS17A!$U1849</f>
        <v>24850</v>
      </c>
      <c r="E216" s="153">
        <f>ENERO!E216+FEBRERO!E216+MARZO!E216+ABRIL!E216+MAYO!E216+JUNIO!E216+JULIO!E216+AGOSTO!E216+SEPTIEMBRE!E216+OCTUBRE!E216+NOVIEMBRE!E216+DICIEMBRE!E216</f>
        <v>13905620</v>
      </c>
      <c r="F216" s="8"/>
    </row>
    <row r="217" spans="1:6" ht="12.75" x14ac:dyDescent="0.2">
      <c r="A217" s="130"/>
      <c r="B217" s="131" t="s">
        <v>321</v>
      </c>
      <c r="C217" s="44">
        <f>SUM(C208:C216)</f>
        <v>18809</v>
      </c>
      <c r="D217" s="151"/>
      <c r="E217" s="171">
        <f>SUM(E208:E216)</f>
        <v>85328720</v>
      </c>
      <c r="F217" s="8"/>
    </row>
    <row r="218" spans="1:6" ht="17.25" customHeight="1" x14ac:dyDescent="0.2">
      <c r="A218" s="8"/>
      <c r="B218" s="8"/>
      <c r="C218" s="8"/>
      <c r="D218" s="8"/>
      <c r="E218" s="8"/>
      <c r="F218" s="8"/>
    </row>
    <row r="219" spans="1:6" ht="18" customHeight="1" x14ac:dyDescent="0.2">
      <c r="A219" s="8"/>
      <c r="B219" s="8"/>
      <c r="C219" s="8"/>
      <c r="D219" s="8"/>
      <c r="E219" s="8"/>
      <c r="F219" s="8"/>
    </row>
    <row r="220" spans="1:6" ht="27.75" customHeight="1" x14ac:dyDescent="0.2">
      <c r="A220" s="257" t="s">
        <v>322</v>
      </c>
      <c r="B220" s="258"/>
      <c r="C220" s="259"/>
      <c r="D220" s="8"/>
      <c r="E220" s="8"/>
      <c r="F220" s="5"/>
    </row>
    <row r="221" spans="1:6" ht="36.75" customHeight="1" x14ac:dyDescent="0.2">
      <c r="A221" s="11" t="s">
        <v>8</v>
      </c>
      <c r="B221" s="11" t="s">
        <v>10</v>
      </c>
      <c r="C221" s="11" t="s">
        <v>12</v>
      </c>
      <c r="D221" s="5"/>
      <c r="E221" s="8"/>
      <c r="F221" s="8"/>
    </row>
    <row r="222" spans="1:6" ht="15" customHeight="1" x14ac:dyDescent="0.2">
      <c r="A222" s="17" t="s">
        <v>323</v>
      </c>
      <c r="B222" s="173" t="s">
        <v>324</v>
      </c>
      <c r="C222" s="174">
        <f>ENERO!C222+FEBRERO!C222+MARZO!C222+ABRIL!C222+MAYO!C222+JUNIO!C222+JULIO!C222+AGOSTO!C222+SEPTIEMBRE!C222+OCTUBRE!C222+NOVIEMBRE!C222+DICIEMBRE!C222</f>
        <v>0</v>
      </c>
      <c r="D222" s="175"/>
      <c r="E222" s="8"/>
      <c r="F222" s="8"/>
    </row>
    <row r="223" spans="1:6" ht="15" customHeight="1" x14ac:dyDescent="0.2">
      <c r="A223" s="176" t="s">
        <v>325</v>
      </c>
      <c r="B223" s="177" t="s">
        <v>326</v>
      </c>
      <c r="C223" s="178">
        <f>ENERO!C223+FEBRERO!C223+MARZO!C223+ABRIL!C223+MAYO!C223+JUNIO!C223+JULIO!C223+AGOSTO!C223+SEPTIEMBRE!C223+OCTUBRE!C223+NOVIEMBRE!C223+DICIEMBRE!C223</f>
        <v>0</v>
      </c>
      <c r="D223" s="175"/>
      <c r="E223" s="8"/>
      <c r="F223" s="8"/>
    </row>
    <row r="224" spans="1:6" ht="18" customHeight="1" x14ac:dyDescent="0.2">
      <c r="A224" s="179"/>
      <c r="B224" s="180" t="s">
        <v>327</v>
      </c>
      <c r="C224" s="181">
        <f>SUM(C222:C223)</f>
        <v>0</v>
      </c>
      <c r="D224" s="175"/>
      <c r="E224" s="8"/>
      <c r="F224" s="8"/>
    </row>
    <row r="225" spans="1:7" ht="18" customHeight="1" x14ac:dyDescent="0.2">
      <c r="A225" s="8"/>
      <c r="B225" s="8"/>
      <c r="C225" s="8"/>
      <c r="D225" s="175"/>
      <c r="E225" s="175"/>
      <c r="F225" s="175"/>
    </row>
    <row r="226" spans="1:7" ht="18" customHeight="1" x14ac:dyDescent="0.2">
      <c r="A226" s="8"/>
      <c r="B226" s="8"/>
      <c r="C226" s="8"/>
      <c r="D226" s="8"/>
      <c r="E226" s="8"/>
      <c r="F226" s="175"/>
      <c r="G226" s="182"/>
    </row>
    <row r="227" spans="1:7" ht="18" customHeight="1" x14ac:dyDescent="0.2">
      <c r="A227" s="256" t="s">
        <v>328</v>
      </c>
      <c r="B227" s="252"/>
      <c r="C227" s="252"/>
      <c r="D227" s="252"/>
      <c r="E227" s="253"/>
      <c r="F227" s="175"/>
      <c r="G227" s="182"/>
    </row>
    <row r="228" spans="1:7" ht="64.5" customHeight="1" x14ac:dyDescent="0.2">
      <c r="A228" s="11" t="s">
        <v>8</v>
      </c>
      <c r="B228" s="11" t="s">
        <v>9</v>
      </c>
      <c r="C228" s="15" t="s">
        <v>10</v>
      </c>
      <c r="D228" s="13" t="s">
        <v>11</v>
      </c>
      <c r="E228" s="16" t="s">
        <v>12</v>
      </c>
      <c r="F228" s="175"/>
      <c r="G228" s="182"/>
    </row>
    <row r="229" spans="1:7" ht="15" customHeight="1" x14ac:dyDescent="0.2">
      <c r="A229" s="17" t="s">
        <v>329</v>
      </c>
      <c r="B229" s="42" t="s">
        <v>330</v>
      </c>
      <c r="C229" s="154">
        <f>ENERO!C229+FEBRERO!C229+MARZO!C229+ABRIL!C229+MAYO!C229+JUNIO!C229+JULIO!C229+AGOSTO!C229+SEPTIEMBRE!C229+OCTUBRE!C229+NOVIEMBRE!C229+DICIEMBRE!C229</f>
        <v>3900</v>
      </c>
      <c r="D229" s="37">
        <f>+[1]BS17A!$U1920</f>
        <v>17150</v>
      </c>
      <c r="E229" s="145">
        <f>ENERO!E229+FEBRERO!E229+MARZO!E229+ABRIL!E229+MAYO!E229+JUNIO!E229+JULIO!E229+AGOSTO!E229+SEPTIEMBRE!E229+OCTUBRE!E229+NOVIEMBRE!E229+DICIEMBRE!E229</f>
        <v>68463900</v>
      </c>
      <c r="F229" s="8"/>
    </row>
    <row r="230" spans="1:7" ht="15" customHeight="1" x14ac:dyDescent="0.2">
      <c r="A230" s="29" t="s">
        <v>331</v>
      </c>
      <c r="B230" s="43" t="s">
        <v>332</v>
      </c>
      <c r="C230" s="158">
        <f>ENERO!C230+FEBRERO!C230+MARZO!C230+ABRIL!C230+MAYO!C230+JUNIO!C230+JULIO!C230+AGOSTO!C230+SEPTIEMBRE!C230+OCTUBRE!C230+NOVIEMBRE!C230+DICIEMBRE!C230</f>
        <v>0</v>
      </c>
      <c r="D230" s="40">
        <f>+[1]BS17A!$U1921</f>
        <v>215070</v>
      </c>
      <c r="E230" s="153">
        <f>ENERO!E230+FEBRERO!E230+MARZO!E230+ABRIL!E230+MAYO!E230+JUNIO!E230+JULIO!E230+AGOSTO!E230+SEPTIEMBRE!E230+OCTUBRE!E230+NOVIEMBRE!E230+DICIEMBRE!E230</f>
        <v>0</v>
      </c>
      <c r="F230" s="8"/>
    </row>
    <row r="231" spans="1:7" ht="18" customHeight="1" x14ac:dyDescent="0.2">
      <c r="A231" s="130"/>
      <c r="B231" s="131" t="s">
        <v>333</v>
      </c>
      <c r="C231" s="44">
        <f>SUM(C229:C230)</f>
        <v>3900</v>
      </c>
      <c r="D231" s="151"/>
      <c r="E231" s="152">
        <f>SUM(E229:E230)</f>
        <v>68463900</v>
      </c>
      <c r="F231" s="8"/>
    </row>
    <row r="232" spans="1:7" ht="18" customHeight="1" x14ac:dyDescent="0.2">
      <c r="A232" s="183"/>
      <c r="B232" s="184"/>
      <c r="C232" s="185"/>
      <c r="D232" s="183"/>
      <c r="E232" s="183"/>
      <c r="F232" s="8"/>
    </row>
    <row r="233" spans="1:7" ht="18" customHeight="1" x14ac:dyDescent="0.2">
      <c r="A233" s="183"/>
      <c r="B233" s="184"/>
      <c r="C233" s="185"/>
      <c r="D233" s="183"/>
      <c r="E233" s="183"/>
      <c r="F233" s="8"/>
    </row>
    <row r="234" spans="1:7" ht="18" customHeight="1" x14ac:dyDescent="0.2">
      <c r="A234" s="251" t="s">
        <v>334</v>
      </c>
      <c r="B234" s="252"/>
      <c r="C234" s="252"/>
      <c r="D234" s="252"/>
      <c r="E234" s="253"/>
      <c r="F234" s="8"/>
    </row>
    <row r="235" spans="1:7" ht="38.25" x14ac:dyDescent="0.2">
      <c r="A235" s="11" t="s">
        <v>8</v>
      </c>
      <c r="B235" s="11" t="s">
        <v>9</v>
      </c>
      <c r="C235" s="15" t="s">
        <v>10</v>
      </c>
      <c r="D235" s="13" t="s">
        <v>11</v>
      </c>
      <c r="E235" s="16" t="s">
        <v>12</v>
      </c>
      <c r="F235" s="8"/>
    </row>
    <row r="236" spans="1:7" ht="18" customHeight="1" x14ac:dyDescent="0.2">
      <c r="A236" s="142" t="s">
        <v>335</v>
      </c>
      <c r="B236" s="186" t="s">
        <v>336</v>
      </c>
      <c r="C236" s="187">
        <f>ENERO!C236+FEBRERO!C236+MARZO!C236+ABRIL!C236+MAYO!C236+JUNIO!C236+JULIO!C236+AGOSTO!C236+SEPTIEMBRE!C236+OCTUBRE!C236+NOVIEMBRE!C236+DICIEMBRE!C236</f>
        <v>4609</v>
      </c>
      <c r="D236" s="188"/>
      <c r="E236" s="189">
        <f>ENERO!E236+FEBRERO!E236+MARZO!E236+ABRIL!E236+MAYO!E236+JUNIO!E236+JULIO!E236+AGOSTO!E236+SEPTIEMBRE!E236+OCTUBRE!E236+NOVIEMBRE!E236+DICIEMBRE!E236</f>
        <v>28319420</v>
      </c>
      <c r="F236" s="8"/>
    </row>
    <row r="237" spans="1:7" ht="18" customHeight="1" x14ac:dyDescent="0.2">
      <c r="A237" s="183"/>
      <c r="B237" s="184"/>
      <c r="C237" s="185"/>
      <c r="D237" s="183"/>
      <c r="E237" s="183"/>
      <c r="F237" s="8"/>
    </row>
    <row r="238" spans="1:7" ht="18" customHeight="1" x14ac:dyDescent="0.2">
      <c r="A238" s="251" t="s">
        <v>337</v>
      </c>
      <c r="B238" s="254"/>
      <c r="C238" s="254"/>
      <c r="D238" s="254"/>
      <c r="E238" s="255"/>
      <c r="F238" s="8"/>
    </row>
    <row r="239" spans="1:7" ht="41.25" customHeight="1" x14ac:dyDescent="0.2">
      <c r="A239" s="11" t="s">
        <v>8</v>
      </c>
      <c r="B239" s="15" t="s">
        <v>338</v>
      </c>
      <c r="C239" s="100" t="s">
        <v>339</v>
      </c>
      <c r="D239" s="13" t="s">
        <v>11</v>
      </c>
      <c r="E239" s="16" t="s">
        <v>12</v>
      </c>
      <c r="F239" s="8"/>
    </row>
    <row r="240" spans="1:7" ht="15" customHeight="1" x14ac:dyDescent="0.2">
      <c r="A240" s="190" t="s">
        <v>340</v>
      </c>
      <c r="B240" s="191" t="s">
        <v>341</v>
      </c>
      <c r="C240" s="19">
        <f>ENERO!C240+FEBRERO!C240+MARZO!C240+ABRIL!C240+MAYO!C240+JUNIO!C240+JULIO!C240+AGOSTO!C240+SEPTIEMBRE!C240+OCTUBRE!C240+NOVIEMBRE!C240+DICIEMBRE!C240</f>
        <v>0</v>
      </c>
      <c r="D240" s="37">
        <f>+[1]BS17A!$U1923</f>
        <v>219670</v>
      </c>
      <c r="E240" s="145">
        <f>ENERO!E240+FEBRERO!E240+MARZO!E240+ABRIL!E240+MAYO!E240+JUNIO!E240+JULIO!E240+AGOSTO!E240+SEPTIEMBRE!E240+OCTUBRE!E240+NOVIEMBRE!E240+DICIEMBRE!E240</f>
        <v>0</v>
      </c>
      <c r="F240" s="8"/>
    </row>
    <row r="241" spans="1:6" ht="15" customHeight="1" x14ac:dyDescent="0.2">
      <c r="A241" s="192" t="s">
        <v>342</v>
      </c>
      <c r="B241" s="193" t="s">
        <v>343</v>
      </c>
      <c r="C241" s="24">
        <f>ENERO!C241+FEBRERO!C241+MARZO!C241+ABRIL!C241+MAYO!C241+JUNIO!C241+JULIO!C241+AGOSTO!C241+SEPTIEMBRE!C241+OCTUBRE!C241+NOVIEMBRE!C241+DICIEMBRE!C241</f>
        <v>0</v>
      </c>
      <c r="D241" s="25">
        <f>+[1]BS17A!$U1924</f>
        <v>31220</v>
      </c>
      <c r="E241" s="146">
        <f>ENERO!E241+FEBRERO!E241+MARZO!E241+ABRIL!E241+MAYO!E241+JUNIO!E241+JULIO!E241+AGOSTO!E241+SEPTIEMBRE!E241+OCTUBRE!E241+NOVIEMBRE!E241+DICIEMBRE!E241</f>
        <v>0</v>
      </c>
      <c r="F241" s="8"/>
    </row>
    <row r="242" spans="1:6" ht="15" customHeight="1" x14ac:dyDescent="0.2">
      <c r="A242" s="192" t="s">
        <v>344</v>
      </c>
      <c r="B242" s="193" t="s">
        <v>345</v>
      </c>
      <c r="C242" s="24">
        <f>ENERO!C242+FEBRERO!C242+MARZO!C242+ABRIL!C242+MAYO!C242+JUNIO!C242+JULIO!C242+AGOSTO!C242+SEPTIEMBRE!C242+OCTUBRE!C242+NOVIEMBRE!C242+DICIEMBRE!C242</f>
        <v>0</v>
      </c>
      <c r="D242" s="25">
        <f>+[1]BS17A!$U1925</f>
        <v>117730</v>
      </c>
      <c r="E242" s="146">
        <f>ENERO!E242+FEBRERO!E242+MARZO!E242+ABRIL!E242+MAYO!E242+JUNIO!E242+JULIO!E242+AGOSTO!E242+SEPTIEMBRE!E242+OCTUBRE!E242+NOVIEMBRE!E242+DICIEMBRE!E242</f>
        <v>0</v>
      </c>
      <c r="F242" s="8"/>
    </row>
    <row r="243" spans="1:6" ht="15" customHeight="1" x14ac:dyDescent="0.2">
      <c r="A243" s="192" t="s">
        <v>346</v>
      </c>
      <c r="B243" s="193" t="s">
        <v>347</v>
      </c>
      <c r="C243" s="24">
        <f>ENERO!C243+FEBRERO!C243+MARZO!C243+ABRIL!C243+MAYO!C243+JUNIO!C243+JULIO!C243+AGOSTO!C243+SEPTIEMBRE!C243+OCTUBRE!C243+NOVIEMBRE!C243+DICIEMBRE!C243</f>
        <v>0</v>
      </c>
      <c r="D243" s="25">
        <f>+[1]BS17A!$U1926</f>
        <v>117730</v>
      </c>
      <c r="E243" s="146">
        <f>ENERO!E243+FEBRERO!E243+MARZO!E243+ABRIL!E243+MAYO!E243+JUNIO!E243+JULIO!E243+AGOSTO!E243+SEPTIEMBRE!E243+OCTUBRE!E243+NOVIEMBRE!E243+DICIEMBRE!E243</f>
        <v>0</v>
      </c>
      <c r="F243" s="8"/>
    </row>
    <row r="244" spans="1:6" ht="15" customHeight="1" x14ac:dyDescent="0.2">
      <c r="A244" s="192" t="s">
        <v>348</v>
      </c>
      <c r="B244" s="193" t="s">
        <v>349</v>
      </c>
      <c r="C244" s="24">
        <f>ENERO!C244+FEBRERO!C244+MARZO!C244+ABRIL!C244+MAYO!C244+JUNIO!C244+JULIO!C244+AGOSTO!C244+SEPTIEMBRE!C244+OCTUBRE!C244+NOVIEMBRE!C244+DICIEMBRE!C244</f>
        <v>0</v>
      </c>
      <c r="D244" s="25">
        <f>+[1]BS17A!$U1927</f>
        <v>214360</v>
      </c>
      <c r="E244" s="146">
        <f>ENERO!E244+FEBRERO!E244+MARZO!E244+ABRIL!E244+MAYO!E244+JUNIO!E244+JULIO!E244+AGOSTO!E244+SEPTIEMBRE!E244+OCTUBRE!E244+NOVIEMBRE!E244+DICIEMBRE!E244</f>
        <v>0</v>
      </c>
      <c r="F244" s="8"/>
    </row>
    <row r="245" spans="1:6" ht="15" customHeight="1" x14ac:dyDescent="0.2">
      <c r="A245" s="192" t="s">
        <v>350</v>
      </c>
      <c r="B245" s="193" t="s">
        <v>351</v>
      </c>
      <c r="C245" s="24">
        <f>ENERO!C245+FEBRERO!C245+MARZO!C245+ABRIL!C245+MAYO!C245+JUNIO!C245+JULIO!C245+AGOSTO!C245+SEPTIEMBRE!C245+OCTUBRE!C245+NOVIEMBRE!C245+DICIEMBRE!C245</f>
        <v>0</v>
      </c>
      <c r="D245" s="25">
        <f>+[1]BS17A!$U1928</f>
        <v>328960</v>
      </c>
      <c r="E245" s="146">
        <f>ENERO!E245+FEBRERO!E245+MARZO!E245+ABRIL!E245+MAYO!E245+JUNIO!E245+JULIO!E245+AGOSTO!E245+SEPTIEMBRE!E245+OCTUBRE!E245+NOVIEMBRE!E245+DICIEMBRE!E245</f>
        <v>0</v>
      </c>
      <c r="F245" s="8"/>
    </row>
    <row r="246" spans="1:6" ht="15" customHeight="1" x14ac:dyDescent="0.2">
      <c r="A246" s="192" t="s">
        <v>352</v>
      </c>
      <c r="B246" s="193" t="s">
        <v>353</v>
      </c>
      <c r="C246" s="24">
        <f>ENERO!C246+FEBRERO!C246+MARZO!C246+ABRIL!C246+MAYO!C246+JUNIO!C246+JULIO!C246+AGOSTO!C246+SEPTIEMBRE!C246+OCTUBRE!C246+NOVIEMBRE!C246+DICIEMBRE!C246</f>
        <v>0</v>
      </c>
      <c r="D246" s="25">
        <f>+[1]BS17A!$U1929</f>
        <v>561180</v>
      </c>
      <c r="E246" s="146">
        <f>ENERO!E246+FEBRERO!E246+MARZO!E246+ABRIL!E246+MAYO!E246+JUNIO!E246+JULIO!E246+AGOSTO!E246+SEPTIEMBRE!E246+OCTUBRE!E246+NOVIEMBRE!E246+DICIEMBRE!E246</f>
        <v>0</v>
      </c>
      <c r="F246" s="8"/>
    </row>
    <row r="247" spans="1:6" ht="15" customHeight="1" x14ac:dyDescent="0.2">
      <c r="A247" s="194" t="s">
        <v>354</v>
      </c>
      <c r="B247" s="193" t="s">
        <v>355</v>
      </c>
      <c r="C247" s="24">
        <f>ENERO!C247+FEBRERO!C247+MARZO!C247+ABRIL!C247+MAYO!C247+JUNIO!C247+JULIO!C247+AGOSTO!C247+SEPTIEMBRE!C247+OCTUBRE!C247+NOVIEMBRE!C247+DICIEMBRE!C247</f>
        <v>0</v>
      </c>
      <c r="D247" s="25">
        <f>+[1]BS17A!$U1930</f>
        <v>116880</v>
      </c>
      <c r="E247" s="146">
        <f>ENERO!E247+FEBRERO!E247+MARZO!E247+ABRIL!E247+MAYO!E247+JUNIO!E247+JULIO!E247+AGOSTO!E247+SEPTIEMBRE!E247+OCTUBRE!E247+NOVIEMBRE!E247+DICIEMBRE!E247</f>
        <v>0</v>
      </c>
      <c r="F247" s="8"/>
    </row>
    <row r="248" spans="1:6" ht="15" customHeight="1" x14ac:dyDescent="0.2">
      <c r="A248" s="194" t="s">
        <v>356</v>
      </c>
      <c r="B248" s="193" t="s">
        <v>357</v>
      </c>
      <c r="C248" s="24">
        <f>ENERO!C248+FEBRERO!C248+MARZO!C248+ABRIL!C248+MAYO!C248+JUNIO!C248+JULIO!C248+AGOSTO!C248+SEPTIEMBRE!C248+OCTUBRE!C248+NOVIEMBRE!C248+DICIEMBRE!C248</f>
        <v>0</v>
      </c>
      <c r="D248" s="25">
        <f>+[1]BS17A!$U1931</f>
        <v>315020</v>
      </c>
      <c r="E248" s="146">
        <f>ENERO!E248+FEBRERO!E248+MARZO!E248+ABRIL!E248+MAYO!E248+JUNIO!E248+JULIO!E248+AGOSTO!E248+SEPTIEMBRE!E248+OCTUBRE!E248+NOVIEMBRE!E248+DICIEMBRE!E248</f>
        <v>0</v>
      </c>
      <c r="F248" s="8"/>
    </row>
    <row r="249" spans="1:6" ht="15" customHeight="1" x14ac:dyDescent="0.2">
      <c r="A249" s="194" t="s">
        <v>358</v>
      </c>
      <c r="B249" s="193" t="s">
        <v>359</v>
      </c>
      <c r="C249" s="66">
        <f>ENERO!C249+FEBRERO!C249+MARZO!C249+ABRIL!C249+MAYO!C249+JUNIO!C249+JULIO!C249+AGOSTO!C249+SEPTIEMBRE!C249+OCTUBRE!C249+NOVIEMBRE!C249+DICIEMBRE!C249</f>
        <v>0</v>
      </c>
      <c r="D249" s="32">
        <f>+[1]BS17A!$U1932</f>
        <v>132640</v>
      </c>
      <c r="E249" s="195">
        <f>ENERO!E249+FEBRERO!E249+MARZO!E249+ABRIL!E249+MAYO!E249+JUNIO!E249+JULIO!E249+AGOSTO!E249+SEPTIEMBRE!E249+OCTUBRE!E249+NOVIEMBRE!E249+DICIEMBRE!E249</f>
        <v>0</v>
      </c>
      <c r="F249" s="8"/>
    </row>
    <row r="250" spans="1:6" ht="15" customHeight="1" x14ac:dyDescent="0.2">
      <c r="A250" s="194" t="s">
        <v>360</v>
      </c>
      <c r="B250" s="193" t="s">
        <v>361</v>
      </c>
      <c r="C250" s="66">
        <f>ENERO!C250+FEBRERO!C250+MARZO!C250+ABRIL!C250+MAYO!C250+JUNIO!C250+JULIO!C250+AGOSTO!C250+SEPTIEMBRE!C250+OCTUBRE!C250+NOVIEMBRE!C250+DICIEMBRE!C250</f>
        <v>0</v>
      </c>
      <c r="D250" s="32">
        <f>+[1]BS17A!$U1933</f>
        <v>115270</v>
      </c>
      <c r="E250" s="195">
        <f>ENERO!E250+FEBRERO!E250+MARZO!E250+ABRIL!E250+MAYO!E250+JUNIO!E250+JULIO!E250+AGOSTO!E250+SEPTIEMBRE!E250+OCTUBRE!E250+NOVIEMBRE!E250+DICIEMBRE!E250</f>
        <v>0</v>
      </c>
      <c r="F250" s="8"/>
    </row>
    <row r="251" spans="1:6" ht="15" customHeight="1" x14ac:dyDescent="0.2">
      <c r="A251" s="194" t="s">
        <v>362</v>
      </c>
      <c r="B251" s="193" t="s">
        <v>363</v>
      </c>
      <c r="C251" s="66">
        <f>ENERO!C251+FEBRERO!C251+MARZO!C251+ABRIL!C251+MAYO!C251+JUNIO!C251+JULIO!C251+AGOSTO!C251+SEPTIEMBRE!C251+OCTUBRE!C251+NOVIEMBRE!C251+DICIEMBRE!C251</f>
        <v>0</v>
      </c>
      <c r="D251" s="32">
        <f>+[1]BS17A!$U1934</f>
        <v>175240</v>
      </c>
      <c r="E251" s="195">
        <f>ENERO!E251+FEBRERO!E251+MARZO!E251+ABRIL!E251+MAYO!E251+JUNIO!E251+JULIO!E251+AGOSTO!E251+SEPTIEMBRE!E251+OCTUBRE!E251+NOVIEMBRE!E251+DICIEMBRE!E251</f>
        <v>0</v>
      </c>
      <c r="F251" s="8"/>
    </row>
    <row r="252" spans="1:6" ht="15" customHeight="1" x14ac:dyDescent="0.2">
      <c r="A252" s="194" t="s">
        <v>364</v>
      </c>
      <c r="B252" s="193" t="s">
        <v>365</v>
      </c>
      <c r="C252" s="66">
        <f>ENERO!C252+FEBRERO!C252+MARZO!C252+ABRIL!C252+MAYO!C252+JUNIO!C252+JULIO!C252+AGOSTO!C252+SEPTIEMBRE!C252+OCTUBRE!C252+NOVIEMBRE!C252+DICIEMBRE!C252</f>
        <v>0</v>
      </c>
      <c r="D252" s="32">
        <f>+[1]BS17A!$U1935</f>
        <v>46120</v>
      </c>
      <c r="E252" s="195">
        <f>ENERO!E252+FEBRERO!E252+MARZO!E252+ABRIL!E252+MAYO!E252+JUNIO!E252+JULIO!E252+AGOSTO!E252+SEPTIEMBRE!E252+OCTUBRE!E252+NOVIEMBRE!E252+DICIEMBRE!E252</f>
        <v>0</v>
      </c>
      <c r="F252" s="8"/>
    </row>
    <row r="253" spans="1:6" ht="15" customHeight="1" x14ac:dyDescent="0.2">
      <c r="A253" s="196" t="s">
        <v>366</v>
      </c>
      <c r="B253" s="197" t="s">
        <v>367</v>
      </c>
      <c r="C253" s="31">
        <f>ENERO!C253+FEBRERO!C253+MARZO!C253+ABRIL!C253+MAYO!C253+JUNIO!C253+JULIO!C253+AGOSTO!C253+SEPTIEMBRE!C253+OCTUBRE!C253+NOVIEMBRE!C253+DICIEMBRE!C253</f>
        <v>0</v>
      </c>
      <c r="D253" s="40">
        <f>+[1]BS17A!$U1936</f>
        <v>34460</v>
      </c>
      <c r="E253" s="153">
        <f>ENERO!E253+FEBRERO!E253+MARZO!E253+ABRIL!E253+MAYO!E253+JUNIO!E253+JULIO!E253+AGOSTO!E253+SEPTIEMBRE!E253+OCTUBRE!E253+NOVIEMBRE!E253+DICIEMBRE!E253</f>
        <v>0</v>
      </c>
      <c r="F253" s="8"/>
    </row>
    <row r="254" spans="1:6" ht="15" customHeight="1" x14ac:dyDescent="0.2">
      <c r="A254" s="242" t="s">
        <v>368</v>
      </c>
      <c r="B254" s="243"/>
      <c r="C254" s="243"/>
      <c r="D254" s="243"/>
      <c r="E254" s="244"/>
      <c r="F254" s="8"/>
    </row>
    <row r="255" spans="1:6" ht="15" customHeight="1" x14ac:dyDescent="0.2">
      <c r="A255" s="17" t="s">
        <v>369</v>
      </c>
      <c r="B255" s="198" t="s">
        <v>341</v>
      </c>
      <c r="C255" s="19">
        <f>ENERO!C255+FEBRERO!C255+MARZO!C255+ABRIL!C255+MAYO!C255+JUNIO!C255+JULIO!C255+AGOSTO!C255+SEPTIEMBRE!C255+OCTUBRE!C255+NOVIEMBRE!C255+DICIEMBRE!C255</f>
        <v>0</v>
      </c>
      <c r="D255" s="37">
        <f>+[1]BS17A!$U1937</f>
        <v>188970</v>
      </c>
      <c r="E255" s="145">
        <f>+[1]BS17A!$V1937</f>
        <v>0</v>
      </c>
      <c r="F255" s="8"/>
    </row>
    <row r="256" spans="1:6" ht="15" customHeight="1" x14ac:dyDescent="0.2">
      <c r="A256" s="22" t="s">
        <v>370</v>
      </c>
      <c r="B256" s="34" t="s">
        <v>371</v>
      </c>
      <c r="C256" s="24">
        <f>ENERO!C256+FEBRERO!C256+MARZO!C256+ABRIL!C256+MAYO!C256+JUNIO!C256+JULIO!C256+AGOSTO!C256+SEPTIEMBRE!C256+OCTUBRE!C256+NOVIEMBRE!C256+DICIEMBRE!C256</f>
        <v>0</v>
      </c>
      <c r="D256" s="25">
        <f>+[1]BS17A!$U1938</f>
        <v>1124200</v>
      </c>
      <c r="E256" s="146">
        <f>+[1]BS17A!$V1938</f>
        <v>0</v>
      </c>
      <c r="F256" s="8"/>
    </row>
    <row r="257" spans="1:6" ht="15" customHeight="1" x14ac:dyDescent="0.2">
      <c r="A257" s="22" t="s">
        <v>372</v>
      </c>
      <c r="B257" s="34" t="s">
        <v>373</v>
      </c>
      <c r="C257" s="24">
        <f>ENERO!C257+FEBRERO!C257+MARZO!C257+ABRIL!C257+MAYO!C257+JUNIO!C257+JULIO!C257+AGOSTO!C257+SEPTIEMBRE!C257+OCTUBRE!C257+NOVIEMBRE!C257+DICIEMBRE!C257</f>
        <v>0</v>
      </c>
      <c r="D257" s="25">
        <f>+[1]BS17A!$U1939</f>
        <v>169610</v>
      </c>
      <c r="E257" s="146">
        <f>+[1]BS17A!$V1939</f>
        <v>0</v>
      </c>
      <c r="F257" s="8"/>
    </row>
    <row r="258" spans="1:6" ht="15" customHeight="1" x14ac:dyDescent="0.2">
      <c r="A258" s="22" t="s">
        <v>374</v>
      </c>
      <c r="B258" s="34" t="s">
        <v>375</v>
      </c>
      <c r="C258" s="24">
        <f>ENERO!C258+FEBRERO!C258+MARZO!C258+ABRIL!C258+MAYO!C258+JUNIO!C258+JULIO!C258+AGOSTO!C258+SEPTIEMBRE!C258+OCTUBRE!C258+NOVIEMBRE!C258+DICIEMBRE!C258</f>
        <v>0</v>
      </c>
      <c r="D258" s="25">
        <f>+[1]BS17A!$U1940</f>
        <v>149990</v>
      </c>
      <c r="E258" s="146">
        <f>+[1]BS17A!$V1940</f>
        <v>0</v>
      </c>
      <c r="F258" s="8"/>
    </row>
    <row r="259" spans="1:6" ht="15" customHeight="1" x14ac:dyDescent="0.2">
      <c r="A259" s="22" t="s">
        <v>376</v>
      </c>
      <c r="B259" s="34" t="s">
        <v>377</v>
      </c>
      <c r="C259" s="24">
        <f>ENERO!C259+FEBRERO!C259+MARZO!C259+ABRIL!C259+MAYO!C259+JUNIO!C259+JULIO!C259+AGOSTO!C259+SEPTIEMBRE!C259+OCTUBRE!C259+NOVIEMBRE!C259+DICIEMBRE!C259</f>
        <v>0</v>
      </c>
      <c r="D259" s="25">
        <f>+[1]BS17A!$U1941</f>
        <v>304480</v>
      </c>
      <c r="E259" s="146">
        <f>+[1]BS17A!$V1941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24">
        <f>ENERO!C260+FEBRERO!C260+MARZO!C260+ABRIL!C260+MAYO!C260+JUNIO!C260+JULIO!C260+AGOSTO!C260+SEPTIEMBRE!C260+OCTUBRE!C260+NOVIEMBRE!C260+DICIEMBRE!C260</f>
        <v>0</v>
      </c>
      <c r="D260" s="25">
        <f>+[1]BS17A!$U1942</f>
        <v>1012520</v>
      </c>
      <c r="E260" s="146">
        <f>+[1]BS17A!$V1942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24">
        <f>ENERO!C261+FEBRERO!C261+MARZO!C261+ABRIL!C261+MAYO!C261+JUNIO!C261+JULIO!C261+AGOSTO!C261+SEPTIEMBRE!C261+OCTUBRE!C261+NOVIEMBRE!C261+DICIEMBRE!C261</f>
        <v>0</v>
      </c>
      <c r="D261" s="25">
        <f>+[1]BS17A!$U1943</f>
        <v>1040530</v>
      </c>
      <c r="E261" s="146">
        <f>+[1]BS17A!$V1943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24">
        <f>ENERO!C262+FEBRERO!C262+MARZO!C262+ABRIL!C262+MAYO!C262+JUNIO!C262+JULIO!C262+AGOSTO!C262+SEPTIEMBRE!C262+OCTUBRE!C262+NOVIEMBRE!C262+DICIEMBRE!C262</f>
        <v>0</v>
      </c>
      <c r="D262" s="25">
        <f>+[1]BS17A!$U1944</f>
        <v>823870</v>
      </c>
      <c r="E262" s="146">
        <f>+[1]BS17A!$V1944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24">
        <f>ENERO!C263+FEBRERO!C263+MARZO!C263+ABRIL!C263+MAYO!C263+JUNIO!C263+JULIO!C263+AGOSTO!C263+SEPTIEMBRE!C263+OCTUBRE!C263+NOVIEMBRE!C263+DICIEMBRE!C263</f>
        <v>0</v>
      </c>
      <c r="D263" s="25">
        <f>+[1]BS17A!$U1945</f>
        <v>868290</v>
      </c>
      <c r="E263" s="146">
        <f>+[1]BS17A!$V1945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24">
        <f>ENERO!C264+FEBRERO!C264+MARZO!C264+ABRIL!C264+MAYO!C264+JUNIO!C264+JULIO!C264+AGOSTO!C264+SEPTIEMBRE!C264+OCTUBRE!C264+NOVIEMBRE!C264+DICIEMBRE!C264</f>
        <v>0</v>
      </c>
      <c r="D264" s="25">
        <f>+[1]BS17A!$U1946</f>
        <v>342530</v>
      </c>
      <c r="E264" s="146">
        <f>+[1]BS17A!$V1946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24">
        <f>ENERO!C265+FEBRERO!C265+MARZO!C265+ABRIL!C265+MAYO!C265+JUNIO!C265+JULIO!C265+AGOSTO!C265+SEPTIEMBRE!C265+OCTUBRE!C265+NOVIEMBRE!C265+DICIEMBRE!C265</f>
        <v>0</v>
      </c>
      <c r="D265" s="25">
        <f>+[1]BS17A!$U1947</f>
        <v>82030</v>
      </c>
      <c r="E265" s="146">
        <f>+[1]BS17A!$V1947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24">
        <f>ENERO!C266+FEBRERO!C266+MARZO!C266+ABRIL!C266+MAYO!C266+JUNIO!C266+JULIO!C266+AGOSTO!C266+SEPTIEMBRE!C266+OCTUBRE!C266+NOVIEMBRE!C266+DICIEMBRE!C266</f>
        <v>0</v>
      </c>
      <c r="D266" s="25">
        <f>+[1]BS17A!$U1948</f>
        <v>244730</v>
      </c>
      <c r="E266" s="146">
        <f>+[1]BS17A!$V1948</f>
        <v>0</v>
      </c>
      <c r="F266" s="8"/>
    </row>
    <row r="267" spans="1:6" ht="15" customHeight="1" x14ac:dyDescent="0.2">
      <c r="A267" s="22" t="s">
        <v>392</v>
      </c>
      <c r="B267" s="23" t="s">
        <v>393</v>
      </c>
      <c r="C267" s="24">
        <f>ENERO!C267+FEBRERO!C267+MARZO!C267+ABRIL!C267+MAYO!C267+JUNIO!C267+JULIO!C267+AGOSTO!C267+SEPTIEMBRE!C267+OCTUBRE!C267+NOVIEMBRE!C267+DICIEMBRE!C267</f>
        <v>0</v>
      </c>
      <c r="D267" s="25">
        <f>+[1]BS17A!$U1949</f>
        <v>69200</v>
      </c>
      <c r="E267" s="146">
        <f>+[1]BS17A!$V1949</f>
        <v>0</v>
      </c>
      <c r="F267" s="8"/>
    </row>
    <row r="268" spans="1:6" ht="15" customHeight="1" x14ac:dyDescent="0.2">
      <c r="A268" s="22" t="s">
        <v>394</v>
      </c>
      <c r="B268" s="23" t="s">
        <v>395</v>
      </c>
      <c r="C268" s="24">
        <f>ENERO!C268+FEBRERO!C268+MARZO!C268+ABRIL!C268+MAYO!C268+JUNIO!C268+JULIO!C268+AGOSTO!C268+SEPTIEMBRE!C268+OCTUBRE!C268+NOVIEMBRE!C268+DICIEMBRE!C268</f>
        <v>0</v>
      </c>
      <c r="D268" s="25">
        <f>+[1]BS17A!$U1950</f>
        <v>1189020</v>
      </c>
      <c r="E268" s="146">
        <f>+[1]BS17A!$V1950</f>
        <v>0</v>
      </c>
      <c r="F268" s="8"/>
    </row>
    <row r="269" spans="1:6" ht="15" customHeight="1" x14ac:dyDescent="0.2">
      <c r="A269" s="22" t="s">
        <v>396</v>
      </c>
      <c r="B269" s="23" t="s">
        <v>397</v>
      </c>
      <c r="C269" s="24">
        <f>ENERO!C269+FEBRERO!C269+MARZO!C269+ABRIL!C269+MAYO!C269+JUNIO!C269+JULIO!C269+AGOSTO!C269+SEPTIEMBRE!C269+OCTUBRE!C269+NOVIEMBRE!C269+DICIEMBRE!C269</f>
        <v>0</v>
      </c>
      <c r="D269" s="25">
        <f>+[1]BS17A!$U1951</f>
        <v>278030</v>
      </c>
      <c r="E269" s="146">
        <f>+[1]BS17A!$V1951</f>
        <v>0</v>
      </c>
      <c r="F269" s="8"/>
    </row>
    <row r="270" spans="1:6" ht="15" customHeight="1" x14ac:dyDescent="0.2">
      <c r="A270" s="22" t="s">
        <v>398</v>
      </c>
      <c r="B270" s="23" t="s">
        <v>399</v>
      </c>
      <c r="C270" s="24">
        <f>ENERO!C270+FEBRERO!C270+MARZO!C270+ABRIL!C270+MAYO!C270+JUNIO!C270+JULIO!C270+AGOSTO!C270+SEPTIEMBRE!C270+OCTUBRE!C270+NOVIEMBRE!C270+DICIEMBRE!C270</f>
        <v>0</v>
      </c>
      <c r="D270" s="25">
        <f>+[1]BS17A!$U1952</f>
        <v>931380</v>
      </c>
      <c r="E270" s="146">
        <f>+[1]BS17A!$V1952</f>
        <v>0</v>
      </c>
      <c r="F270" s="8"/>
    </row>
    <row r="271" spans="1:6" ht="15" customHeight="1" x14ac:dyDescent="0.2">
      <c r="A271" s="22" t="s">
        <v>400</v>
      </c>
      <c r="B271" s="30" t="s">
        <v>401</v>
      </c>
      <c r="C271" s="24">
        <f>ENERO!C271+FEBRERO!C271+MARZO!C271+ABRIL!C271+MAYO!C271+JUNIO!C271+JULIO!C271+AGOSTO!C271+SEPTIEMBRE!C271+OCTUBRE!C271+NOVIEMBRE!C271+DICIEMBRE!C271</f>
        <v>0</v>
      </c>
      <c r="D271" s="25">
        <f>+[1]BS17A!$U1953</f>
        <v>570190</v>
      </c>
      <c r="E271" s="146">
        <f>+[1]BS17A!$V1953</f>
        <v>0</v>
      </c>
      <c r="F271" s="8"/>
    </row>
    <row r="272" spans="1:6" ht="15" customHeight="1" x14ac:dyDescent="0.2">
      <c r="A272" s="29" t="s">
        <v>402</v>
      </c>
      <c r="B272" s="30" t="s">
        <v>403</v>
      </c>
      <c r="C272" s="31">
        <f>ENERO!C272+FEBRERO!C272+MARZO!C272+ABRIL!C272+MAYO!C272+JUNIO!C272+JULIO!C272+AGOSTO!C272+SEPTIEMBRE!C272+OCTUBRE!C272+NOVIEMBRE!C272+DICIEMBRE!C272</f>
        <v>0</v>
      </c>
      <c r="D272" s="32">
        <f>+[1]BS17A!$U1954</f>
        <v>465310</v>
      </c>
      <c r="E272" s="195">
        <f>+[1]BS17A!$V1954</f>
        <v>0</v>
      </c>
      <c r="F272" s="8"/>
    </row>
    <row r="273" spans="1:10" ht="15" customHeight="1" x14ac:dyDescent="0.2">
      <c r="A273" s="242" t="s">
        <v>404</v>
      </c>
      <c r="B273" s="243"/>
      <c r="C273" s="243"/>
      <c r="D273" s="243"/>
      <c r="E273" s="244"/>
      <c r="F273" s="8"/>
    </row>
    <row r="274" spans="1:10" ht="15" customHeight="1" x14ac:dyDescent="0.2">
      <c r="A274" s="17" t="s">
        <v>405</v>
      </c>
      <c r="B274" s="18" t="s">
        <v>406</v>
      </c>
      <c r="C274" s="70">
        <f>ENERO!C274+FEBRERO!C274+MARZO!C274+ABRIL!C274+MAYO!C274+JUNIO!C274+JULIO!C274+AGOSTO!C274+SEPTIEMBRE!C274+OCTUBRE!C274+NOVIEMBRE!C274+DICIEMBRE!C274</f>
        <v>0</v>
      </c>
      <c r="D274" s="20">
        <f>[1]BS17A!U1955</f>
        <v>250830</v>
      </c>
      <c r="E274" s="199">
        <f>ENERO!E274+FEBRERO!E274+MARZO!E274+ABRIL!E274+MAYO!E274+JUNIO!E274+JULIO!E274+AGOSTO!E274+SEPTIEMBRE!E274+OCTUBRE!E274+NOVIEMBRE!E274+DICIEMBRE!E274</f>
        <v>0</v>
      </c>
      <c r="F274" s="8"/>
    </row>
    <row r="275" spans="1:10" ht="15" customHeight="1" x14ac:dyDescent="0.2">
      <c r="A275" s="22" t="s">
        <v>407</v>
      </c>
      <c r="B275" s="23" t="s">
        <v>408</v>
      </c>
      <c r="C275" s="24">
        <f>ENERO!C275+FEBRERO!C275+MARZO!C275+ABRIL!C275+MAYO!C275+JUNIO!C275+JULIO!C275+AGOSTO!C275+SEPTIEMBRE!C275+OCTUBRE!C275+NOVIEMBRE!C275+DICIEMBRE!C275</f>
        <v>0</v>
      </c>
      <c r="D275" s="25">
        <f>[1]BS17A!U1956</f>
        <v>146240</v>
      </c>
      <c r="E275" s="146">
        <f>ENERO!E275+FEBRERO!E275+MARZO!E275+ABRIL!E275+MAYO!E275+JUNIO!E275+JULIO!E275+AGOSTO!E275+SEPTIEMBRE!E275+OCTUBRE!E275+NOVIEMBRE!E275+DICIEMBRE!E275</f>
        <v>0</v>
      </c>
      <c r="F275" s="8"/>
    </row>
    <row r="276" spans="1:10" ht="15" customHeight="1" x14ac:dyDescent="0.2">
      <c r="A276" s="22" t="s">
        <v>409</v>
      </c>
      <c r="B276" s="23" t="s">
        <v>410</v>
      </c>
      <c r="C276" s="24">
        <f>ENERO!C276+FEBRERO!C276+MARZO!C276+ABRIL!C276+MAYO!C276+JUNIO!C276+JULIO!C276+AGOSTO!C276+SEPTIEMBRE!C276+OCTUBRE!C276+NOVIEMBRE!C276+DICIEMBRE!C276</f>
        <v>0</v>
      </c>
      <c r="D276" s="25">
        <f>[1]BS17A!U1957</f>
        <v>353360</v>
      </c>
      <c r="E276" s="146">
        <f>ENERO!E276+FEBRERO!E276+MARZO!E276+ABRIL!E276+MAYO!E276+JUNIO!E276+JULIO!E276+AGOSTO!E276+SEPTIEMBRE!E276+OCTUBRE!E276+NOVIEMBRE!E276+DICIEMBRE!E276</f>
        <v>0</v>
      </c>
      <c r="F276" s="8"/>
    </row>
    <row r="277" spans="1:10" ht="15" customHeight="1" x14ac:dyDescent="0.2">
      <c r="A277" s="22" t="s">
        <v>411</v>
      </c>
      <c r="B277" s="23" t="s">
        <v>412</v>
      </c>
      <c r="C277" s="24">
        <f>ENERO!C277+FEBRERO!C277+MARZO!C277+ABRIL!C277+MAYO!C277+JUNIO!C277+JULIO!C277+AGOSTO!C277+SEPTIEMBRE!C277+OCTUBRE!C277+NOVIEMBRE!C277+DICIEMBRE!C277</f>
        <v>0</v>
      </c>
      <c r="D277" s="25">
        <f>[1]BS17A!U1958</f>
        <v>366190</v>
      </c>
      <c r="E277" s="146">
        <f>ENERO!E277+FEBRERO!E277+MARZO!E277+ABRIL!E277+MAYO!E277+JUNIO!E277+JULIO!E277+AGOSTO!E277+SEPTIEMBRE!E277+OCTUBRE!E277+NOVIEMBRE!E277+DICIEMBRE!E277</f>
        <v>0</v>
      </c>
      <c r="F277" s="8"/>
    </row>
    <row r="278" spans="1:10" ht="15" customHeight="1" x14ac:dyDescent="0.2">
      <c r="A278" s="29" t="s">
        <v>413</v>
      </c>
      <c r="B278" s="39" t="s">
        <v>414</v>
      </c>
      <c r="C278" s="31">
        <f>ENERO!C278+FEBRERO!C278+MARZO!C278+ABRIL!C278+MAYO!C278+JUNIO!C278+JULIO!C278+AGOSTO!C278+SEPTIEMBRE!C278+OCTUBRE!C278+NOVIEMBRE!C278+DICIEMBRE!C278</f>
        <v>0</v>
      </c>
      <c r="D278" s="40">
        <f>[1]BS17A!U1959</f>
        <v>228810</v>
      </c>
      <c r="E278" s="153">
        <f>ENERO!E278+FEBRERO!E278+MARZO!E278+ABRIL!E278+MAYO!E278+JUNIO!E278+JULIO!E278+AGOSTO!E278+SEPTIEMBRE!E278+OCTUBRE!E278+NOVIEMBRE!E278+DICIEMBRE!E278</f>
        <v>0</v>
      </c>
      <c r="F278" s="200"/>
    </row>
    <row r="279" spans="1:10" ht="15" customHeight="1" x14ac:dyDescent="0.2">
      <c r="A279" s="201" t="s">
        <v>415</v>
      </c>
      <c r="B279" s="202" t="s">
        <v>416</v>
      </c>
      <c r="C279" s="203">
        <f>ENERO!C279+FEBRERO!C279+MARZO!C279+ABRIL!C279+MAYO!C279+JUNIO!C279+JULIO!C279+AGOSTO!C279+SEPTIEMBRE!C279+OCTUBRE!C279+NOVIEMBRE!C279+DICIEMBRE!C279</f>
        <v>1126</v>
      </c>
      <c r="D279" s="204">
        <f>[1]BS17A!U1960</f>
        <v>31110</v>
      </c>
      <c r="E279" s="189">
        <f>ENERO!E279+FEBRERO!E279+MARZO!E279+ABRIL!E279+MAYO!E279+JUNIO!E279+JULIO!E279+AGOSTO!E279+SEPTIEMBRE!E279+OCTUBRE!E279+NOVIEMBRE!E279+DICIEMBRE!E279</f>
        <v>35809570</v>
      </c>
      <c r="F279" s="200"/>
    </row>
    <row r="280" spans="1:10" ht="15" customHeight="1" x14ac:dyDescent="0.2">
      <c r="A280" s="130"/>
      <c r="B280" s="205" t="s">
        <v>417</v>
      </c>
      <c r="C280" s="44">
        <f>SUM(C240:C279)</f>
        <v>1126</v>
      </c>
      <c r="D280" s="151"/>
      <c r="E280" s="152">
        <f>SUM(E240:E279)</f>
        <v>35809570</v>
      </c>
      <c r="F280" s="200"/>
    </row>
    <row r="281" spans="1:10" ht="18" customHeight="1" x14ac:dyDescent="0.2">
      <c r="A281" s="183"/>
      <c r="B281" s="8"/>
      <c r="C281" s="8"/>
      <c r="D281" s="183"/>
      <c r="E281" s="183"/>
      <c r="F281" s="8"/>
    </row>
    <row r="282" spans="1:10" ht="18" customHeight="1" x14ac:dyDescent="0.2">
      <c r="A282" s="183"/>
      <c r="B282" s="185"/>
      <c r="C282" s="185"/>
      <c r="D282" s="183"/>
      <c r="E282" s="183"/>
      <c r="F282" s="206"/>
      <c r="G282" s="207"/>
      <c r="J282" s="208"/>
    </row>
    <row r="283" spans="1:10" ht="12.75" customHeight="1" x14ac:dyDescent="0.2">
      <c r="A283" s="251" t="s">
        <v>418</v>
      </c>
      <c r="B283" s="254"/>
      <c r="C283" s="254"/>
      <c r="D283" s="254"/>
      <c r="E283" s="255"/>
      <c r="F283" s="8"/>
    </row>
    <row r="284" spans="1:10" ht="44.25" customHeight="1" x14ac:dyDescent="0.2">
      <c r="A284" s="11" t="s">
        <v>8</v>
      </c>
      <c r="B284" s="11" t="s">
        <v>418</v>
      </c>
      <c r="C284" s="15" t="s">
        <v>339</v>
      </c>
      <c r="D284" s="13" t="s">
        <v>11</v>
      </c>
      <c r="E284" s="16" t="s">
        <v>12</v>
      </c>
      <c r="F284" s="200"/>
    </row>
    <row r="285" spans="1:10" ht="15" customHeight="1" x14ac:dyDescent="0.2">
      <c r="A285" s="17" t="s">
        <v>419</v>
      </c>
      <c r="B285" s="209" t="s">
        <v>420</v>
      </c>
      <c r="C285" s="19">
        <f>ENERO!C285+FEBRERO!C285+MARZO!C285+ABRIL!C285+MAYO!C285+JUNIO!C285+JULIO!C285+AGOSTO!C285+SEPTIEMBRE!C285+OCTUBRE!C285+NOVIEMBRE!C285+DICIEMBRE!C285</f>
        <v>78</v>
      </c>
      <c r="D285" s="37">
        <f>+[1]BS17A!$U1962</f>
        <v>6120</v>
      </c>
      <c r="E285" s="145">
        <f>ENERO!E285+FEBRERO!E285+MARZO!E285+ABRIL!E285+MAYO!E285+JUNIO!E285+JULIO!E285+AGOSTO!E285+SEPTIEMBRE!E285+OCTUBRE!E285+NOVIEMBRE!E285+DICIEMBRE!E285</f>
        <v>487160</v>
      </c>
      <c r="F285" s="8"/>
    </row>
    <row r="286" spans="1:10" ht="15" customHeight="1" x14ac:dyDescent="0.2">
      <c r="A286" s="22" t="s">
        <v>421</v>
      </c>
      <c r="B286" s="210" t="s">
        <v>422</v>
      </c>
      <c r="C286" s="24">
        <f>ENERO!C286+FEBRERO!C286+MARZO!C286+ABRIL!C286+MAYO!C286+JUNIO!C286+JULIO!C286+AGOSTO!C286+SEPTIEMBRE!C286+OCTUBRE!C286+NOVIEMBRE!C286+DICIEMBRE!C286</f>
        <v>0</v>
      </c>
      <c r="D286" s="25">
        <f>+[1]BS17A!$U1963</f>
        <v>3260</v>
      </c>
      <c r="E286" s="146">
        <f>ENERO!E286+FEBRERO!E286+MARZO!E286+ABRIL!E286+MAYO!E286+JUNIO!E286+JULIO!E286+AGOSTO!E286+SEPTIEMBRE!E286+OCTUBRE!E286+NOVIEMBRE!E286+DICIEMBRE!E286</f>
        <v>0</v>
      </c>
      <c r="F286" s="8"/>
    </row>
    <row r="287" spans="1:10" ht="15" customHeight="1" x14ac:dyDescent="0.2">
      <c r="A287" s="22" t="s">
        <v>423</v>
      </c>
      <c r="B287" s="210" t="s">
        <v>424</v>
      </c>
      <c r="C287" s="24">
        <f>ENERO!C287+FEBRERO!C287+MARZO!C287+ABRIL!C287+MAYO!C287+JUNIO!C287+JULIO!C287+AGOSTO!C287+SEPTIEMBRE!C287+OCTUBRE!C287+NOVIEMBRE!C287+DICIEMBRE!C287</f>
        <v>35</v>
      </c>
      <c r="D287" s="25">
        <f>+[1]BS17A!$U1964</f>
        <v>12280</v>
      </c>
      <c r="E287" s="146">
        <f>ENERO!E287+FEBRERO!E287+MARZO!E287+ABRIL!E287+MAYO!E287+JUNIO!E287+JULIO!E287+AGOSTO!E287+SEPTIEMBRE!E287+OCTUBRE!E287+NOVIEMBRE!E287+DICIEMBRE!E287</f>
        <v>437180</v>
      </c>
      <c r="F287" s="8"/>
    </row>
    <row r="288" spans="1:10" ht="15" customHeight="1" x14ac:dyDescent="0.2">
      <c r="A288" s="22" t="s">
        <v>425</v>
      </c>
      <c r="B288" s="210" t="s">
        <v>426</v>
      </c>
      <c r="C288" s="24">
        <f>ENERO!C288+FEBRERO!C288+MARZO!C288+ABRIL!C288+MAYO!C288+JUNIO!C288+JULIO!C288+AGOSTO!C288+SEPTIEMBRE!C288+OCTUBRE!C288+NOVIEMBRE!C288+DICIEMBRE!C288</f>
        <v>0</v>
      </c>
      <c r="D288" s="25">
        <f>+[1]BS17A!$U1965</f>
        <v>125980</v>
      </c>
      <c r="E288" s="146">
        <f>ENERO!E288+FEBRERO!E288+MARZO!E288+ABRIL!E288+MAYO!E288+JUNIO!E288+JULIO!E288+AGOSTO!E288+SEPTIEMBRE!E288+OCTUBRE!E288+NOVIEMBRE!E288+DICIEMBRE!E288</f>
        <v>0</v>
      </c>
      <c r="F288" s="8"/>
    </row>
    <row r="289" spans="1:7" ht="15" customHeight="1" x14ac:dyDescent="0.2">
      <c r="A289" s="29" t="s">
        <v>427</v>
      </c>
      <c r="B289" s="211" t="s">
        <v>428</v>
      </c>
      <c r="C289" s="31">
        <f>ENERO!C289+FEBRERO!C289+MARZO!C289+ABRIL!C289+MAYO!C289+JUNIO!C289+JULIO!C289+AGOSTO!C289+SEPTIEMBRE!C289+OCTUBRE!C289+NOVIEMBRE!C289+DICIEMBRE!C289</f>
        <v>0</v>
      </c>
      <c r="D289" s="40">
        <f>+[1]BS17A!$U1966</f>
        <v>691940</v>
      </c>
      <c r="E289" s="153">
        <f>ENERO!E289+FEBRERO!E289+MARZO!E289+ABRIL!E289+MAYO!E289+JUNIO!E289+JULIO!E289+AGOSTO!E289+SEPTIEMBRE!E289+OCTUBRE!E289+NOVIEMBRE!E289+DICIEMBRE!E289</f>
        <v>0</v>
      </c>
      <c r="F289" s="8"/>
    </row>
    <row r="290" spans="1:7" ht="15" customHeight="1" x14ac:dyDescent="0.2">
      <c r="A290" s="130"/>
      <c r="B290" s="131" t="s">
        <v>429</v>
      </c>
      <c r="C290" s="56">
        <f>SUM(C285:C289)</f>
        <v>113</v>
      </c>
      <c r="D290" s="57"/>
      <c r="E290" s="107">
        <f>SUM(E285:E289)</f>
        <v>924340</v>
      </c>
      <c r="F290" s="8"/>
    </row>
    <row r="291" spans="1:7" ht="18" customHeight="1" x14ac:dyDescent="0.2">
      <c r="A291" s="183"/>
      <c r="B291" s="185"/>
      <c r="C291" s="183"/>
      <c r="D291" s="183"/>
      <c r="E291" s="183"/>
      <c r="F291" s="8"/>
    </row>
    <row r="292" spans="1:7" ht="18" customHeight="1" x14ac:dyDescent="0.2">
      <c r="A292" s="183"/>
      <c r="B292" s="185"/>
      <c r="C292" s="183"/>
      <c r="D292" s="183"/>
      <c r="E292" s="183"/>
      <c r="F292" s="212"/>
      <c r="G292" s="10"/>
    </row>
    <row r="293" spans="1:7" ht="12.75" x14ac:dyDescent="0.2">
      <c r="A293" s="242" t="s">
        <v>430</v>
      </c>
      <c r="B293" s="243"/>
      <c r="C293" s="243"/>
      <c r="D293" s="243"/>
      <c r="E293" s="244"/>
      <c r="F293" s="213"/>
      <c r="G293" s="10"/>
    </row>
    <row r="294" spans="1:7" ht="36.75" customHeight="1" x14ac:dyDescent="0.2">
      <c r="A294" s="11" t="s">
        <v>8</v>
      </c>
      <c r="B294" s="214" t="s">
        <v>430</v>
      </c>
      <c r="C294" s="215" t="s">
        <v>431</v>
      </c>
      <c r="D294" s="13" t="s">
        <v>11</v>
      </c>
      <c r="E294" s="16" t="s">
        <v>12</v>
      </c>
      <c r="F294" s="213"/>
      <c r="G294" s="10"/>
    </row>
    <row r="295" spans="1:7" ht="15" customHeight="1" x14ac:dyDescent="0.2">
      <c r="A295" s="17" t="s">
        <v>432</v>
      </c>
      <c r="B295" s="36" t="s">
        <v>433</v>
      </c>
      <c r="C295" s="19">
        <f>ENERO!C295+FEBRERO!C295+MARZO!C295+ABRIL!C295+MAYO!C295+JUNIO!C295+JULIO!C295+AGOSTO!C295+SEPTIEMBRE!C295+OCTUBRE!C295+NOVIEMBRE!C295+DICIEMBRE!C295</f>
        <v>3107</v>
      </c>
      <c r="D295" s="37">
        <f>+[1]BS17A!$U1851</f>
        <v>16380</v>
      </c>
      <c r="E295" s="145">
        <f>ENERO!E295+FEBRERO!E295+MARZO!E295+ABRIL!E295+MAYO!E295+JUNIO!E295+JULIO!E295+AGOSTO!E295+SEPTIEMBRE!E295+OCTUBRE!E295+NOVIEMBRE!E295+DICIEMBRE!E295</f>
        <v>52005060</v>
      </c>
      <c r="F295" s="8"/>
    </row>
    <row r="296" spans="1:7" ht="15" customHeight="1" x14ac:dyDescent="0.2">
      <c r="A296" s="22" t="s">
        <v>434</v>
      </c>
      <c r="B296" s="28" t="s">
        <v>435</v>
      </c>
      <c r="C296" s="24">
        <f>ENERO!C296+FEBRERO!C296+MARZO!C296+ABRIL!C296+MAYO!C296+JUNIO!C296+JULIO!C296+AGOSTO!C296+SEPTIEMBRE!C296+OCTUBRE!C296+NOVIEMBRE!C296+DICIEMBRE!C296</f>
        <v>1996</v>
      </c>
      <c r="D296" s="25">
        <f>+[1]BS17A!$U1852</f>
        <v>51500</v>
      </c>
      <c r="E296" s="146">
        <f>ENERO!E296+FEBRERO!E296+MARZO!E296+ABRIL!E296+MAYO!E296+JUNIO!E296+JULIO!E296+AGOSTO!E296+SEPTIEMBRE!E296+OCTUBRE!E296+NOVIEMBRE!E296+DICIEMBRE!E296</f>
        <v>105065200</v>
      </c>
      <c r="F296" s="8"/>
    </row>
    <row r="297" spans="1:7" ht="15" customHeight="1" x14ac:dyDescent="0.2">
      <c r="A297" s="22" t="s">
        <v>436</v>
      </c>
      <c r="B297" s="28" t="s">
        <v>437</v>
      </c>
      <c r="C297" s="24">
        <f>ENERO!C297+FEBRERO!C297+MARZO!C297+ABRIL!C297+MAYO!C297+JUNIO!C297+JULIO!C297+AGOSTO!C297+SEPTIEMBRE!C297+OCTUBRE!C297+NOVIEMBRE!C297+DICIEMBRE!C297</f>
        <v>0</v>
      </c>
      <c r="D297" s="25">
        <f>+[1]BS17A!$U1853</f>
        <v>63840</v>
      </c>
      <c r="E297" s="146">
        <f>ENERO!E297+FEBRERO!E297+MARZO!E297+ABRIL!E297+MAYO!E297+JUNIO!E297+JULIO!E297+AGOSTO!E297+SEPTIEMBRE!E297+OCTUBRE!E297+NOVIEMBRE!E297+DICIEMBRE!E297</f>
        <v>0</v>
      </c>
      <c r="F297" s="8"/>
    </row>
    <row r="298" spans="1:7" ht="15" customHeight="1" x14ac:dyDescent="0.2">
      <c r="A298" s="22" t="s">
        <v>438</v>
      </c>
      <c r="B298" s="28" t="s">
        <v>439</v>
      </c>
      <c r="C298" s="24">
        <f>ENERO!C298+FEBRERO!C298+MARZO!C298+ABRIL!C298+MAYO!C298+JUNIO!C298+JULIO!C298+AGOSTO!C298+SEPTIEMBRE!C298+OCTUBRE!C298+NOVIEMBRE!C298+DICIEMBRE!C298</f>
        <v>1885</v>
      </c>
      <c r="D298" s="25">
        <f>+[1]BS17A!$U1854</f>
        <v>2250</v>
      </c>
      <c r="E298" s="146">
        <f>ENERO!E298+FEBRERO!E298+MARZO!E298+ABRIL!E298+MAYO!E298+JUNIO!E298+JULIO!E298+AGOSTO!E298+SEPTIEMBRE!E298+OCTUBRE!E298+NOVIEMBRE!E298+DICIEMBRE!E298</f>
        <v>4333370</v>
      </c>
      <c r="F298" s="8"/>
    </row>
    <row r="299" spans="1:7" ht="15" customHeight="1" x14ac:dyDescent="0.2">
      <c r="A299" s="22" t="s">
        <v>440</v>
      </c>
      <c r="B299" s="28" t="s">
        <v>441</v>
      </c>
      <c r="C299" s="24">
        <f>ENERO!C299+FEBRERO!C299+MARZO!C299+ABRIL!C299+MAYO!C299+JUNIO!C299+JULIO!C299+AGOSTO!C299+SEPTIEMBRE!C299+OCTUBRE!C299+NOVIEMBRE!C299+DICIEMBRE!C299</f>
        <v>0</v>
      </c>
      <c r="D299" s="25">
        <f>+[1]BS17A!$U1855</f>
        <v>70</v>
      </c>
      <c r="E299" s="146">
        <f>ENERO!E299+FEBRERO!E299+MARZO!E299+ABRIL!E299+MAYO!E299+JUNIO!E299+JULIO!E299+AGOSTO!E299+SEPTIEMBRE!E299+OCTUBRE!E299+NOVIEMBRE!E299+DICIEMBRE!E299</f>
        <v>0</v>
      </c>
      <c r="F299" s="8"/>
    </row>
    <row r="300" spans="1:7" ht="15" customHeight="1" x14ac:dyDescent="0.2">
      <c r="A300" s="22" t="s">
        <v>442</v>
      </c>
      <c r="B300" s="23" t="s">
        <v>443</v>
      </c>
      <c r="C300" s="24">
        <f>ENERO!C300+FEBRERO!C300+MARZO!C300+ABRIL!C300+MAYO!C300+JUNIO!C300+JULIO!C300+AGOSTO!C300+SEPTIEMBRE!C300+OCTUBRE!C300+NOVIEMBRE!C300+DICIEMBRE!C300</f>
        <v>0</v>
      </c>
      <c r="D300" s="25">
        <f>+[1]BS17A!$U1856</f>
        <v>135560</v>
      </c>
      <c r="E300" s="146">
        <f>ENERO!E300+FEBRERO!E300+MARZO!E300+ABRIL!E300+MAYO!E300+JUNIO!E300+JULIO!E300+AGOSTO!E300+SEPTIEMBRE!E300+OCTUBRE!E300+NOVIEMBRE!E300+DICIEMBRE!E300</f>
        <v>0</v>
      </c>
      <c r="F300" s="8"/>
    </row>
    <row r="301" spans="1:7" ht="15" customHeight="1" x14ac:dyDescent="0.2">
      <c r="A301" s="29" t="s">
        <v>444</v>
      </c>
      <c r="B301" s="43" t="s">
        <v>445</v>
      </c>
      <c r="C301" s="31">
        <f>ENERO!C301+FEBRERO!C301+MARZO!C301+ABRIL!C301+MAYO!C301+JUNIO!C301+JULIO!C301+AGOSTO!C301+SEPTIEMBRE!C301+OCTUBRE!C301+NOVIEMBRE!C301+DICIEMBRE!C301</f>
        <v>0</v>
      </c>
      <c r="D301" s="40">
        <f>+[1]BS17A!$U1857</f>
        <v>9220</v>
      </c>
      <c r="E301" s="153">
        <f>ENERO!E301+FEBRERO!E301+MARZO!E301+ABRIL!E301+MAYO!E301+JUNIO!E301+JULIO!E301+AGOSTO!E301+SEPTIEMBRE!E301+OCTUBRE!E301+NOVIEMBRE!E301+DICIEMBRE!E301</f>
        <v>0</v>
      </c>
      <c r="F301" s="8"/>
    </row>
    <row r="302" spans="1:7" ht="15" customHeight="1" x14ac:dyDescent="0.2">
      <c r="A302" s="96"/>
      <c r="B302" s="246" t="s">
        <v>446</v>
      </c>
      <c r="C302" s="247"/>
      <c r="D302" s="188"/>
      <c r="E302" s="217">
        <f>SUM(E295:E301)</f>
        <v>161403630</v>
      </c>
      <c r="F302" s="8"/>
    </row>
    <row r="303" spans="1:7" ht="12.75" x14ac:dyDescent="0.2">
      <c r="A303" s="8"/>
      <c r="B303" s="8"/>
      <c r="C303" s="8"/>
      <c r="D303" s="8"/>
      <c r="E303" s="8"/>
      <c r="F303" s="175"/>
      <c r="G303" s="182"/>
    </row>
    <row r="304" spans="1:7" ht="12.75" x14ac:dyDescent="0.2">
      <c r="A304" s="8"/>
      <c r="B304" s="8"/>
      <c r="C304" s="8"/>
      <c r="D304" s="8"/>
      <c r="E304" s="8"/>
      <c r="F304" s="175"/>
      <c r="G304" s="182"/>
    </row>
    <row r="305" spans="1:7" ht="12.75" x14ac:dyDescent="0.2">
      <c r="A305" s="239" t="s">
        <v>447</v>
      </c>
      <c r="B305" s="240"/>
      <c r="C305" s="240"/>
      <c r="D305" s="240"/>
      <c r="E305" s="241"/>
      <c r="F305" s="175"/>
      <c r="G305" s="182"/>
    </row>
    <row r="306" spans="1:7" ht="12.75" x14ac:dyDescent="0.2">
      <c r="A306" s="218"/>
      <c r="B306" s="248" t="s">
        <v>448</v>
      </c>
      <c r="C306" s="249"/>
      <c r="D306" s="250"/>
      <c r="E306" s="219">
        <f>+E231+E236+E280+E290+E302</f>
        <v>294920860</v>
      </c>
      <c r="F306" s="8"/>
    </row>
    <row r="307" spans="1:7" ht="12.75" x14ac:dyDescent="0.2">
      <c r="A307" s="8"/>
      <c r="B307" s="8"/>
      <c r="C307" s="8"/>
      <c r="D307" s="8"/>
      <c r="E307" s="8"/>
      <c r="F307" s="175"/>
      <c r="G307" s="182"/>
    </row>
    <row r="308" spans="1:7" ht="12.75" x14ac:dyDescent="0.2">
      <c r="A308" s="8"/>
      <c r="B308" s="8"/>
      <c r="C308" s="8"/>
      <c r="D308" s="8"/>
      <c r="E308" s="8"/>
      <c r="F308" s="175"/>
      <c r="G308" s="182"/>
    </row>
    <row r="309" spans="1:7" ht="12.75" x14ac:dyDescent="0.2">
      <c r="A309" s="239" t="s">
        <v>449</v>
      </c>
      <c r="B309" s="240"/>
      <c r="C309" s="240"/>
      <c r="D309" s="240"/>
      <c r="E309" s="241"/>
      <c r="F309" s="175"/>
      <c r="G309" s="182"/>
    </row>
    <row r="310" spans="1:7" ht="25.5" x14ac:dyDescent="0.2">
      <c r="A310" s="242" t="s">
        <v>450</v>
      </c>
      <c r="B310" s="243"/>
      <c r="C310" s="243"/>
      <c r="D310" s="244"/>
      <c r="E310" s="11" t="s">
        <v>12</v>
      </c>
      <c r="F310" s="175"/>
      <c r="G310" s="182"/>
    </row>
    <row r="311" spans="1:7" ht="15" customHeight="1" x14ac:dyDescent="0.2">
      <c r="A311" s="218"/>
      <c r="B311" s="248" t="s">
        <v>451</v>
      </c>
      <c r="C311" s="249"/>
      <c r="D311" s="250"/>
      <c r="E311" s="219">
        <f>+E50+E76+E84+F109+E116+C121+E148+E155+E167+E203+E217+C224+E306</f>
        <v>7193419325</v>
      </c>
      <c r="F311" s="175"/>
      <c r="G311" s="182"/>
    </row>
    <row r="312" spans="1:7" ht="18" customHeight="1" x14ac:dyDescent="0.2">
      <c r="A312" s="8"/>
      <c r="B312" s="8"/>
      <c r="C312" s="8"/>
      <c r="D312" s="8"/>
      <c r="E312" s="8"/>
      <c r="F312" s="5"/>
    </row>
    <row r="313" spans="1:7" ht="18" customHeight="1" x14ac:dyDescent="0.2">
      <c r="A313" s="8"/>
      <c r="B313" s="8"/>
      <c r="C313" s="8"/>
      <c r="D313" s="8"/>
      <c r="E313" s="8"/>
      <c r="F313" s="5"/>
    </row>
    <row r="314" spans="1:7" ht="18" customHeight="1" x14ac:dyDescent="0.2">
      <c r="A314" s="239" t="s">
        <v>452</v>
      </c>
      <c r="B314" s="240"/>
      <c r="C314" s="241"/>
      <c r="D314" s="8"/>
      <c r="E314" s="8"/>
      <c r="F314" s="5"/>
    </row>
    <row r="315" spans="1:7" ht="18" customHeight="1" x14ac:dyDescent="0.2">
      <c r="A315" s="242" t="s">
        <v>453</v>
      </c>
      <c r="B315" s="243"/>
      <c r="C315" s="244"/>
      <c r="D315" s="8"/>
      <c r="E315" s="8"/>
      <c r="F315" s="5"/>
    </row>
    <row r="316" spans="1:7" ht="30.75" customHeight="1" x14ac:dyDescent="0.2">
      <c r="A316" s="239" t="s">
        <v>454</v>
      </c>
      <c r="B316" s="240"/>
      <c r="C316" s="11" t="s">
        <v>455</v>
      </c>
      <c r="D316" s="8"/>
      <c r="E316" s="8"/>
      <c r="F316" s="8"/>
    </row>
    <row r="317" spans="1:7" ht="15" customHeight="1" x14ac:dyDescent="0.2">
      <c r="A317" s="220" t="s">
        <v>456</v>
      </c>
      <c r="B317" s="191"/>
      <c r="C317" s="221">
        <f>ENERO!C317+FEBRERO!C317+MARZO!C317+ABRIL!C317+MAYO!C317+JUNIO!C317+JULIO!C317+AGOSTO!C317+SEPTIEMBRE!C317+OCTUBRE!C317+NOVIEMBRE!C317+DICIEMBRE!C317</f>
        <v>0</v>
      </c>
      <c r="D317" s="8"/>
      <c r="E317" s="8"/>
      <c r="F317" s="8"/>
    </row>
    <row r="318" spans="1:7" ht="15" customHeight="1" x14ac:dyDescent="0.2">
      <c r="A318" s="24" t="s">
        <v>457</v>
      </c>
      <c r="B318" s="193"/>
      <c r="C318" s="222">
        <f>ENERO!C318+FEBRERO!C318+MARZO!C318+ABRIL!C318+MAYO!C318+JUNIO!C318+JULIO!C318+AGOSTO!C318+SEPTIEMBRE!C318+OCTUBRE!C318+NOVIEMBRE!C318+DICIEMBRE!C318</f>
        <v>0</v>
      </c>
      <c r="D318" s="8"/>
      <c r="E318" s="8"/>
      <c r="F318" s="8"/>
    </row>
    <row r="319" spans="1:7" ht="15" customHeight="1" x14ac:dyDescent="0.2">
      <c r="A319" s="24" t="s">
        <v>458</v>
      </c>
      <c r="B319" s="193"/>
      <c r="C319" s="222">
        <f>ENERO!C319+FEBRERO!C319+MARZO!C319+ABRIL!C319+MAYO!C319+JUNIO!C319+JULIO!C319+AGOSTO!C319+SEPTIEMBRE!C319+OCTUBRE!C319+NOVIEMBRE!C319+DICIEMBRE!C319</f>
        <v>0</v>
      </c>
      <c r="D319" s="8"/>
      <c r="E319" s="8"/>
      <c r="F319" s="8"/>
    </row>
    <row r="320" spans="1:7" ht="15" customHeight="1" x14ac:dyDescent="0.2">
      <c r="A320" s="223" t="s">
        <v>459</v>
      </c>
      <c r="B320" s="193"/>
      <c r="C320" s="222">
        <f>ENERO!C320+FEBRERO!C320+MARZO!C320+ABRIL!C320+MAYO!C320+JUNIO!C320+JULIO!C320+AGOSTO!C320+SEPTIEMBRE!C320+OCTUBRE!C320+NOVIEMBRE!C320+DICIEMBRE!C320</f>
        <v>0</v>
      </c>
      <c r="D320" s="8"/>
      <c r="E320" s="8"/>
      <c r="F320" s="8"/>
    </row>
    <row r="321" spans="1:6" ht="15" customHeight="1" x14ac:dyDescent="0.2">
      <c r="A321" s="224" t="s">
        <v>460</v>
      </c>
      <c r="B321" s="225"/>
      <c r="C321" s="226">
        <f>ENERO!C321+FEBRERO!C321+MARZO!C321+ABRIL!C321+MAYO!C321+JUNIO!C321+JULIO!C321+AGOSTO!C321+SEPTIEMBRE!C321+OCTUBRE!C321+NOVIEMBRE!C321+DICIEMBRE!C321</f>
        <v>0</v>
      </c>
      <c r="D321" s="8"/>
      <c r="E321" s="8"/>
      <c r="F321" s="8"/>
    </row>
    <row r="322" spans="1:6" ht="15" customHeight="1" x14ac:dyDescent="0.2">
      <c r="A322" s="19" t="s">
        <v>461</v>
      </c>
      <c r="B322" s="227"/>
      <c r="C322" s="221">
        <f>ENERO!C322+FEBRERO!C322+MARZO!C322+ABRIL!C322+MAYO!C322+JUNIO!C322+JULIO!C322+AGOSTO!C322+SEPTIEMBRE!C322+OCTUBRE!C322+NOVIEMBRE!C322+DICIEMBRE!C322</f>
        <v>120158614</v>
      </c>
      <c r="D322" s="8"/>
      <c r="E322" s="8"/>
      <c r="F322" s="8"/>
    </row>
    <row r="323" spans="1:6" ht="15" customHeight="1" x14ac:dyDescent="0.2">
      <c r="A323" s="228" t="s">
        <v>462</v>
      </c>
      <c r="B323" s="229"/>
      <c r="C323" s="222">
        <f>ENERO!C323+FEBRERO!C323+MARZO!C323+ABRIL!C323+MAYO!C323+JUNIO!C323+JULIO!C323+AGOSTO!C323+SEPTIEMBRE!C323+OCTUBRE!C323+NOVIEMBRE!C323+DICIEMBRE!C323</f>
        <v>0</v>
      </c>
      <c r="D323" s="8"/>
      <c r="E323" s="8"/>
      <c r="F323" s="8"/>
    </row>
    <row r="324" spans="1:6" ht="15" customHeight="1" x14ac:dyDescent="0.2">
      <c r="A324" s="24" t="s">
        <v>463</v>
      </c>
      <c r="B324" s="229"/>
      <c r="C324" s="222">
        <f>ENERO!C324+FEBRERO!C324+MARZO!C324+ABRIL!C324+MAYO!C324+JUNIO!C324+JULIO!C324+AGOSTO!C324+SEPTIEMBRE!C324+OCTUBRE!C324+NOVIEMBRE!C324+DICIEMBRE!C324</f>
        <v>0</v>
      </c>
      <c r="D324" s="8"/>
      <c r="E324" s="8"/>
      <c r="F324" s="8"/>
    </row>
    <row r="325" spans="1:6" ht="15" customHeight="1" x14ac:dyDescent="0.2">
      <c r="A325" s="24" t="s">
        <v>464</v>
      </c>
      <c r="B325" s="229"/>
      <c r="C325" s="222">
        <f>ENERO!C325+FEBRERO!C325+MARZO!C325+ABRIL!C325+MAYO!C325+JUNIO!C325+JULIO!C325+AGOSTO!C325+SEPTIEMBRE!C325+OCTUBRE!C325+NOVIEMBRE!C325+DICIEMBRE!C325</f>
        <v>0</v>
      </c>
      <c r="D325" s="8"/>
      <c r="E325" s="8"/>
      <c r="F325" s="8"/>
    </row>
    <row r="326" spans="1:6" ht="15" customHeight="1" x14ac:dyDescent="0.2">
      <c r="A326" s="228" t="s">
        <v>465</v>
      </c>
      <c r="B326" s="229"/>
      <c r="C326" s="222">
        <f>ENERO!C326+FEBRERO!C326+MARZO!C326+ABRIL!C326+MAYO!C326+JUNIO!C326+JULIO!C326+AGOSTO!C326+SEPTIEMBRE!C326+OCTUBRE!C326+NOVIEMBRE!C326+DICIEMBRE!C326</f>
        <v>0</v>
      </c>
      <c r="D326" s="8"/>
      <c r="E326" s="8"/>
      <c r="F326" s="8"/>
    </row>
    <row r="327" spans="1:6" ht="15" customHeight="1" x14ac:dyDescent="0.2">
      <c r="A327" s="228" t="s">
        <v>466</v>
      </c>
      <c r="B327" s="229"/>
      <c r="C327" s="222">
        <f>ENERO!C327+FEBRERO!C327+MARZO!C327+ABRIL!C327+MAYO!C327+JUNIO!C327+JULIO!C327+AGOSTO!C327+SEPTIEMBRE!C327+OCTUBRE!C327+NOVIEMBRE!C327+DICIEMBRE!C327</f>
        <v>0</v>
      </c>
      <c r="D327" s="8"/>
      <c r="E327" s="8"/>
      <c r="F327" s="8"/>
    </row>
    <row r="328" spans="1:6" ht="15" customHeight="1" x14ac:dyDescent="0.2">
      <c r="A328" s="230" t="s">
        <v>467</v>
      </c>
      <c r="B328" s="231"/>
      <c r="C328" s="232">
        <f>ENERO!C328+FEBRERO!C328+MARZO!C328+ABRIL!C328+MAYO!C328+JUNIO!C328+JULIO!C328+AGOSTO!C328+SEPTIEMBRE!C328+OCTUBRE!C328+NOVIEMBRE!C328+DICIEMBRE!C328</f>
        <v>517502475</v>
      </c>
      <c r="D328" s="8"/>
      <c r="E328" s="8"/>
      <c r="F328" s="8"/>
    </row>
    <row r="329" spans="1:6" ht="15" customHeight="1" x14ac:dyDescent="0.2">
      <c r="A329" s="44"/>
      <c r="B329" s="233" t="s">
        <v>468</v>
      </c>
      <c r="C329" s="163">
        <f>SUM(C321:C328)</f>
        <v>637661089</v>
      </c>
      <c r="D329" s="8"/>
      <c r="E329" s="8"/>
      <c r="F329" s="8"/>
    </row>
    <row r="330" spans="1:6" ht="12.75" x14ac:dyDescent="0.2">
      <c r="A330" s="8"/>
      <c r="B330" s="8"/>
      <c r="C330" s="8"/>
      <c r="D330" s="8"/>
      <c r="E330" s="8"/>
      <c r="F330" s="5"/>
    </row>
    <row r="331" spans="1:6" ht="12.75" x14ac:dyDescent="0.2">
      <c r="A331" s="8"/>
      <c r="B331" s="8"/>
      <c r="C331" s="8"/>
      <c r="D331" s="8"/>
      <c r="E331" s="8"/>
      <c r="F331" s="5"/>
    </row>
    <row r="332" spans="1:6" ht="12.75" x14ac:dyDescent="0.2">
      <c r="A332" s="8"/>
      <c r="B332" s="8"/>
      <c r="C332" s="8"/>
      <c r="D332" s="8"/>
      <c r="E332" s="8"/>
      <c r="F332" s="5"/>
    </row>
    <row r="333" spans="1:6" ht="12.75" x14ac:dyDescent="0.2">
      <c r="A333" s="183"/>
      <c r="B333" s="183"/>
      <c r="C333" s="183"/>
      <c r="D333" s="183"/>
      <c r="E333" s="183"/>
      <c r="F333" s="212"/>
    </row>
    <row r="334" spans="1:6" ht="12.75" x14ac:dyDescent="0.2">
      <c r="A334" s="183"/>
      <c r="B334" s="183"/>
      <c r="C334" s="183"/>
      <c r="D334" s="183"/>
      <c r="E334" s="245" t="str">
        <f>[1]NOMBRE!B12</f>
        <v xml:space="preserve">SRA. MARIA INES NUÑEZ GONZALEZ </v>
      </c>
      <c r="F334" s="245"/>
    </row>
    <row r="335" spans="1:6" ht="12.75" x14ac:dyDescent="0.2">
      <c r="A335" s="183"/>
      <c r="B335" s="183"/>
      <c r="C335" s="183"/>
      <c r="D335" s="185"/>
      <c r="E335" s="238" t="str">
        <f>[1]NOMBRE!A12</f>
        <v>Jefe de Estadisticas</v>
      </c>
      <c r="F335" s="238"/>
    </row>
    <row r="336" spans="1:6" ht="12.75" x14ac:dyDescent="0.2">
      <c r="A336" s="183"/>
      <c r="B336" s="183"/>
      <c r="C336" s="183"/>
      <c r="D336" s="183"/>
      <c r="E336" s="234"/>
      <c r="F336" s="235"/>
    </row>
    <row r="337" spans="1:6" ht="12.75" x14ac:dyDescent="0.2">
      <c r="A337" s="183"/>
      <c r="B337" s="183"/>
      <c r="C337" s="183"/>
      <c r="D337" s="183"/>
      <c r="E337" s="235"/>
      <c r="F337" s="235"/>
    </row>
    <row r="338" spans="1:6" ht="12.75" x14ac:dyDescent="0.2">
      <c r="A338" s="183"/>
      <c r="B338" s="183"/>
      <c r="C338" s="183"/>
      <c r="D338" s="183"/>
      <c r="E338" s="235"/>
      <c r="F338" s="235"/>
    </row>
    <row r="339" spans="1:6" ht="12.75" x14ac:dyDescent="0.2">
      <c r="A339" s="183"/>
      <c r="B339" s="183"/>
      <c r="C339" s="183"/>
      <c r="D339" s="183"/>
      <c r="E339" s="235"/>
      <c r="F339" s="235"/>
    </row>
    <row r="340" spans="1:6" ht="12.75" x14ac:dyDescent="0.2">
      <c r="A340" s="183"/>
      <c r="B340" s="183"/>
      <c r="C340" s="183"/>
      <c r="D340" s="183"/>
      <c r="E340" s="235"/>
      <c r="F340" s="235"/>
    </row>
    <row r="341" spans="1:6" ht="12.75" x14ac:dyDescent="0.2">
      <c r="A341" s="183"/>
      <c r="B341" s="183"/>
      <c r="C341" s="183"/>
      <c r="D341" s="183"/>
      <c r="E341" s="235"/>
      <c r="F341" s="235"/>
    </row>
    <row r="342" spans="1:6" ht="12.75" x14ac:dyDescent="0.2">
      <c r="A342" s="183"/>
      <c r="B342" s="183"/>
      <c r="C342" s="183"/>
      <c r="D342" s="183"/>
      <c r="E342" s="235"/>
      <c r="F342" s="235"/>
    </row>
    <row r="343" spans="1:6" ht="12.75" x14ac:dyDescent="0.2">
      <c r="A343" s="183"/>
      <c r="B343" s="183"/>
      <c r="C343" s="183"/>
      <c r="D343" s="183"/>
      <c r="E343" s="245" t="str">
        <f>[1]NOMBRE!B11</f>
        <v>DRA. RUTH  ISABEL MUÑOZ ESPINOZA</v>
      </c>
      <c r="F343" s="245"/>
    </row>
    <row r="344" spans="1:6" ht="22.5" customHeight="1" x14ac:dyDescent="0.2">
      <c r="A344" s="183"/>
      <c r="B344" s="183"/>
      <c r="C344" s="183"/>
      <c r="D344" s="212"/>
      <c r="E344" s="238" t="e">
        <f>CONCATENATE("Director ",[1]NOMBRE!B1)</f>
        <v>#REF!</v>
      </c>
      <c r="F344" s="238"/>
    </row>
    <row r="345" spans="1:6" ht="12.75" x14ac:dyDescent="0.2">
      <c r="A345" s="183"/>
      <c r="B345" s="183"/>
      <c r="C345" s="183"/>
      <c r="D345" s="236"/>
      <c r="E345" s="183"/>
      <c r="F345" s="212"/>
    </row>
  </sheetData>
  <mergeCells count="49">
    <mergeCell ref="E344:F344"/>
    <mergeCell ref="A314:C314"/>
    <mergeCell ref="A315:C315"/>
    <mergeCell ref="A316:B316"/>
    <mergeCell ref="E334:F334"/>
    <mergeCell ref="E335:F335"/>
    <mergeCell ref="E343:F343"/>
    <mergeCell ref="B302:C302"/>
    <mergeCell ref="A305:E305"/>
    <mergeCell ref="B306:D306"/>
    <mergeCell ref="A309:E309"/>
    <mergeCell ref="A310:D310"/>
    <mergeCell ref="B311:D311"/>
    <mergeCell ref="A234:E234"/>
    <mergeCell ref="A238:E238"/>
    <mergeCell ref="A254:E254"/>
    <mergeCell ref="A273:E273"/>
    <mergeCell ref="A283:E283"/>
    <mergeCell ref="A293:E293"/>
    <mergeCell ref="A151:E151"/>
    <mergeCell ref="A158:E158"/>
    <mergeCell ref="A170:E170"/>
    <mergeCell ref="A206:E206"/>
    <mergeCell ref="A220:C220"/>
    <mergeCell ref="A227:E227"/>
    <mergeCell ref="A88:A89"/>
    <mergeCell ref="B88:B89"/>
    <mergeCell ref="C88:F88"/>
    <mergeCell ref="A112:E112"/>
    <mergeCell ref="A119:C119"/>
    <mergeCell ref="A124:E124"/>
    <mergeCell ref="A38:E38"/>
    <mergeCell ref="A41:E41"/>
    <mergeCell ref="A46:E46"/>
    <mergeCell ref="A53:E53"/>
    <mergeCell ref="A79:E79"/>
    <mergeCell ref="A87:F87"/>
    <mergeCell ref="A7:B7"/>
    <mergeCell ref="C7:E7"/>
    <mergeCell ref="C8:E8"/>
    <mergeCell ref="A11:E11"/>
    <mergeCell ref="A13:E13"/>
    <mergeCell ref="A27:E27"/>
    <mergeCell ref="C1:E1"/>
    <mergeCell ref="C2:E2"/>
    <mergeCell ref="C3:E3"/>
    <mergeCell ref="C4:E4"/>
    <mergeCell ref="C5:E5"/>
    <mergeCell ref="C6:E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workbookViewId="0">
      <selection sqref="A1:XFD1048576"/>
    </sheetView>
  </sheetViews>
  <sheetFormatPr baseColWidth="10" defaultRowHeight="10.5" x14ac:dyDescent="0.15"/>
  <cols>
    <col min="1" max="1" width="15" style="4" customWidth="1"/>
    <col min="2" max="2" width="74" style="4" customWidth="1"/>
    <col min="3" max="5" width="21.42578125" style="4" customWidth="1"/>
    <col min="6" max="6" width="19.5703125" style="237" customWidth="1"/>
    <col min="7" max="7" width="2.42578125" style="4" customWidth="1"/>
    <col min="8" max="9" width="5.140625" style="4" customWidth="1"/>
    <col min="10" max="256" width="11.42578125" style="4"/>
    <col min="257" max="257" width="15" style="4" customWidth="1"/>
    <col min="258" max="258" width="74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15" style="4" customWidth="1"/>
    <col min="514" max="514" width="74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15" style="4" customWidth="1"/>
    <col min="770" max="770" width="74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15" style="4" customWidth="1"/>
    <col min="1026" max="1026" width="74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15" style="4" customWidth="1"/>
    <col min="1282" max="1282" width="74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15" style="4" customWidth="1"/>
    <col min="1538" max="1538" width="74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15" style="4" customWidth="1"/>
    <col min="1794" max="1794" width="74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15" style="4" customWidth="1"/>
    <col min="2050" max="2050" width="74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15" style="4" customWidth="1"/>
    <col min="2306" max="2306" width="74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15" style="4" customWidth="1"/>
    <col min="2562" max="2562" width="74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15" style="4" customWidth="1"/>
    <col min="2818" max="2818" width="74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15" style="4" customWidth="1"/>
    <col min="3074" max="3074" width="74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15" style="4" customWidth="1"/>
    <col min="3330" max="3330" width="74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15" style="4" customWidth="1"/>
    <col min="3586" max="3586" width="74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15" style="4" customWidth="1"/>
    <col min="3842" max="3842" width="74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15" style="4" customWidth="1"/>
    <col min="4098" max="4098" width="74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15" style="4" customWidth="1"/>
    <col min="4354" max="4354" width="74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15" style="4" customWidth="1"/>
    <col min="4610" max="4610" width="74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15" style="4" customWidth="1"/>
    <col min="4866" max="4866" width="74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15" style="4" customWidth="1"/>
    <col min="5122" max="5122" width="74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15" style="4" customWidth="1"/>
    <col min="5378" max="5378" width="74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15" style="4" customWidth="1"/>
    <col min="5634" max="5634" width="74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15" style="4" customWidth="1"/>
    <col min="5890" max="5890" width="74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15" style="4" customWidth="1"/>
    <col min="6146" max="6146" width="74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15" style="4" customWidth="1"/>
    <col min="6402" max="6402" width="74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15" style="4" customWidth="1"/>
    <col min="6658" max="6658" width="74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15" style="4" customWidth="1"/>
    <col min="6914" max="6914" width="74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15" style="4" customWidth="1"/>
    <col min="7170" max="7170" width="74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15" style="4" customWidth="1"/>
    <col min="7426" max="7426" width="74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15" style="4" customWidth="1"/>
    <col min="7682" max="7682" width="74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15" style="4" customWidth="1"/>
    <col min="7938" max="7938" width="74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15" style="4" customWidth="1"/>
    <col min="8194" max="8194" width="74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15" style="4" customWidth="1"/>
    <col min="8450" max="8450" width="74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15" style="4" customWidth="1"/>
    <col min="8706" max="8706" width="74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15" style="4" customWidth="1"/>
    <col min="8962" max="8962" width="74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15" style="4" customWidth="1"/>
    <col min="9218" max="9218" width="74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15" style="4" customWidth="1"/>
    <col min="9474" max="9474" width="74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15" style="4" customWidth="1"/>
    <col min="9730" max="9730" width="74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15" style="4" customWidth="1"/>
    <col min="9986" max="9986" width="74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15" style="4" customWidth="1"/>
    <col min="10242" max="10242" width="74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15" style="4" customWidth="1"/>
    <col min="10498" max="10498" width="74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15" style="4" customWidth="1"/>
    <col min="10754" max="10754" width="74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15" style="4" customWidth="1"/>
    <col min="11010" max="11010" width="74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15" style="4" customWidth="1"/>
    <col min="11266" max="11266" width="74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15" style="4" customWidth="1"/>
    <col min="11522" max="11522" width="74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15" style="4" customWidth="1"/>
    <col min="11778" max="11778" width="74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15" style="4" customWidth="1"/>
    <col min="12034" max="12034" width="74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15" style="4" customWidth="1"/>
    <col min="12290" max="12290" width="74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15" style="4" customWidth="1"/>
    <col min="12546" max="12546" width="74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15" style="4" customWidth="1"/>
    <col min="12802" max="12802" width="74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15" style="4" customWidth="1"/>
    <col min="13058" max="13058" width="74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15" style="4" customWidth="1"/>
    <col min="13314" max="13314" width="74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15" style="4" customWidth="1"/>
    <col min="13570" max="13570" width="74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15" style="4" customWidth="1"/>
    <col min="13826" max="13826" width="74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15" style="4" customWidth="1"/>
    <col min="14082" max="14082" width="74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15" style="4" customWidth="1"/>
    <col min="14338" max="14338" width="74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15" style="4" customWidth="1"/>
    <col min="14594" max="14594" width="74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15" style="4" customWidth="1"/>
    <col min="14850" max="14850" width="74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15" style="4" customWidth="1"/>
    <col min="15106" max="15106" width="74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15" style="4" customWidth="1"/>
    <col min="15362" max="15362" width="74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15" style="4" customWidth="1"/>
    <col min="15618" max="15618" width="74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15" style="4" customWidth="1"/>
    <col min="15874" max="15874" width="74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15" style="4" customWidth="1"/>
    <col min="16130" max="16130" width="74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271" t="s">
        <v>1</v>
      </c>
      <c r="D1" s="272"/>
      <c r="E1" s="273"/>
      <c r="F1" s="3"/>
    </row>
    <row r="2" spans="1:7" ht="12.75" x14ac:dyDescent="0.2">
      <c r="A2" s="1" t="str">
        <f>CONCATENATE("COMUNA: ",[9]NOMBRE!B2," - ","( ",[9]NOMBRE!C2,[9]NOMBRE!D2,[9]NOMBRE!E2,[9]NOMBRE!F2,[9]NOMBRE!G2," )")</f>
        <v>COMUNA: LINARES  - ( 07401 )</v>
      </c>
      <c r="B2" s="2"/>
      <c r="C2" s="268"/>
      <c r="D2" s="269"/>
      <c r="E2" s="270"/>
      <c r="F2" s="5"/>
      <c r="G2" s="6"/>
    </row>
    <row r="3" spans="1:7" ht="12.75" x14ac:dyDescent="0.2">
      <c r="A3" s="1" t="str">
        <f>CONCATENATE("ESTABLECIMIENTO: ",[9]NOMBRE!B3," - ","( ",[9]NOMBRE!C3,[9]NOMBRE!D3,[9]NOMBRE!E3,[9]NOMBRE!F3,[9]NOMBRE!G3," )")</f>
        <v>ESTABLECIMIENTO: HOSPITAL DE LINARES  - ( 16108 )</v>
      </c>
      <c r="B3" s="2"/>
      <c r="C3" s="271" t="s">
        <v>2</v>
      </c>
      <c r="D3" s="272"/>
      <c r="E3" s="273"/>
      <c r="F3" s="5"/>
      <c r="G3" s="7"/>
    </row>
    <row r="4" spans="1:7" ht="12.75" x14ac:dyDescent="0.2">
      <c r="A4" s="1" t="str">
        <f>CONCATENATE("MES: ",[9]NOMBRE!B6," - ","( ",[9]NOMBRE!C6,[9]NOMBRE!D6," )")</f>
        <v>MES: SEPTIEMBRE - ( 09 )</v>
      </c>
      <c r="B4" s="2"/>
      <c r="C4" s="268" t="str">
        <f>CONCATENATE([9]NOMBRE!B6," ","( ",[9]NOMBRE!C6,[9]NOMBRE!D6," )")</f>
        <v>SEPTIEMBRE ( 09 )</v>
      </c>
      <c r="D4" s="269"/>
      <c r="E4" s="270"/>
      <c r="F4" s="5"/>
      <c r="G4" s="7"/>
    </row>
    <row r="5" spans="1:7" ht="12.75" x14ac:dyDescent="0.2">
      <c r="A5" s="1" t="str">
        <f>CONCATENATE("AÑO: ",[9]NOMBRE!B7)</f>
        <v>AÑO: 2011</v>
      </c>
      <c r="B5" s="2"/>
      <c r="C5" s="271" t="s">
        <v>3</v>
      </c>
      <c r="D5" s="272"/>
      <c r="E5" s="273"/>
      <c r="F5" s="5"/>
      <c r="G5" s="7"/>
    </row>
    <row r="6" spans="1:7" ht="12.75" x14ac:dyDescent="0.2">
      <c r="A6" s="8"/>
      <c r="B6" s="8"/>
      <c r="C6" s="268">
        <f>[9]NOMBRE!B7</f>
        <v>2011</v>
      </c>
      <c r="D6" s="269"/>
      <c r="E6" s="270"/>
      <c r="F6" s="5"/>
      <c r="G6" s="7"/>
    </row>
    <row r="7" spans="1:7" ht="12.75" x14ac:dyDescent="0.2">
      <c r="A7" s="263" t="s">
        <v>4</v>
      </c>
      <c r="B7" s="264"/>
      <c r="C7" s="265" t="s">
        <v>5</v>
      </c>
      <c r="D7" s="266"/>
      <c r="E7" s="267"/>
      <c r="F7" s="5"/>
      <c r="G7" s="7"/>
    </row>
    <row r="8" spans="1:7" ht="12.75" x14ac:dyDescent="0.2">
      <c r="A8" s="8"/>
      <c r="B8" s="9" t="s">
        <v>6</v>
      </c>
      <c r="C8" s="268" t="str">
        <f>CONCATENATE([9]NOMBRE!B3," ","( ",[9]NOMBRE!C3,[9]NOMBRE!D3,[9]NOMBRE!E3,[9]NOMBRE!F3,[9]NOMBRE!G3," )")</f>
        <v>HOSPITAL DE LINARES  ( 16108 )</v>
      </c>
      <c r="D8" s="269"/>
      <c r="E8" s="270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256" t="s">
        <v>7</v>
      </c>
      <c r="B11" s="252"/>
      <c r="C11" s="252"/>
      <c r="D11" s="252"/>
      <c r="E11" s="253"/>
      <c r="F11" s="5"/>
    </row>
    <row r="12" spans="1:7" ht="43.5" customHeight="1" x14ac:dyDescent="0.2">
      <c r="A12" s="11" t="s">
        <v>8</v>
      </c>
      <c r="B12" s="11" t="s">
        <v>9</v>
      </c>
      <c r="C12" s="12" t="s">
        <v>10</v>
      </c>
      <c r="D12" s="13" t="s">
        <v>11</v>
      </c>
      <c r="E12" s="14" t="s">
        <v>12</v>
      </c>
      <c r="F12" s="8"/>
    </row>
    <row r="13" spans="1:7" ht="12.75" customHeight="1" x14ac:dyDescent="0.2">
      <c r="A13" s="242" t="s">
        <v>13</v>
      </c>
      <c r="B13" s="243"/>
      <c r="C13" s="243"/>
      <c r="D13" s="243"/>
      <c r="E13" s="244"/>
      <c r="F13" s="8"/>
    </row>
    <row r="14" spans="1:7" ht="15" customHeight="1" x14ac:dyDescent="0.2">
      <c r="A14" s="17" t="s">
        <v>14</v>
      </c>
      <c r="B14" s="18" t="s">
        <v>15</v>
      </c>
      <c r="C14" s="19">
        <f>[9]BS17A!$D13</f>
        <v>0</v>
      </c>
      <c r="D14" s="20">
        <f>[9]BS17A!$U13</f>
        <v>3830</v>
      </c>
      <c r="E14" s="21">
        <f>[9]BS17A!$V13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24">
        <f>[9]BS17A!$D14</f>
        <v>0</v>
      </c>
      <c r="D15" s="25">
        <f>[9]BS17A!$U14</f>
        <v>4820</v>
      </c>
      <c r="E15" s="26">
        <f>[9]BS17A!$V14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24">
        <f>[9]BS17A!$D15</f>
        <v>8081</v>
      </c>
      <c r="D16" s="25">
        <f>[9]BS17A!$U15</f>
        <v>10320</v>
      </c>
      <c r="E16" s="26">
        <f>[9]BS17A!$V15</f>
        <v>83395920</v>
      </c>
      <c r="F16" s="8"/>
    </row>
    <row r="17" spans="1:6" ht="15" customHeight="1" x14ac:dyDescent="0.2">
      <c r="A17" s="22" t="s">
        <v>20</v>
      </c>
      <c r="B17" s="23" t="s">
        <v>21</v>
      </c>
      <c r="C17" s="24">
        <f>[9]BS17A!$D16</f>
        <v>0</v>
      </c>
      <c r="D17" s="25">
        <f>[9]BS17A!$U16</f>
        <v>6170</v>
      </c>
      <c r="E17" s="26">
        <f>[9]BS17A!$V16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24">
        <f>[9]BS17A!$D17</f>
        <v>0</v>
      </c>
      <c r="D18" s="25">
        <f>[9]BS17A!$U17</f>
        <v>6770</v>
      </c>
      <c r="E18" s="26">
        <f>[9]BS17A!$V17</f>
        <v>0</v>
      </c>
      <c r="F18" s="8"/>
    </row>
    <row r="19" spans="1:6" ht="33" customHeight="1" x14ac:dyDescent="0.2">
      <c r="A19" s="22" t="s">
        <v>24</v>
      </c>
      <c r="B19" s="27" t="s">
        <v>25</v>
      </c>
      <c r="C19" s="24">
        <f>[9]BS17A!$D20</f>
        <v>0</v>
      </c>
      <c r="D19" s="25">
        <f>[9]BS17A!$U20</f>
        <v>5210</v>
      </c>
      <c r="E19" s="26">
        <f>[9]BS17A!$V20</f>
        <v>0</v>
      </c>
      <c r="F19" s="8"/>
    </row>
    <row r="20" spans="1:6" ht="42.75" customHeight="1" x14ac:dyDescent="0.2">
      <c r="A20" s="22" t="s">
        <v>26</v>
      </c>
      <c r="B20" s="27" t="s">
        <v>27</v>
      </c>
      <c r="C20" s="24">
        <f>[9]BS17A!$D21</f>
        <v>0</v>
      </c>
      <c r="D20" s="25">
        <f>[9]BS17A!$U21</f>
        <v>6250</v>
      </c>
      <c r="E20" s="26">
        <f>[9]BS17A!$V21</f>
        <v>0</v>
      </c>
      <c r="F20" s="8"/>
    </row>
    <row r="21" spans="1:6" ht="42.75" customHeight="1" x14ac:dyDescent="0.2">
      <c r="A21" s="22" t="s">
        <v>28</v>
      </c>
      <c r="B21" s="27" t="s">
        <v>29</v>
      </c>
      <c r="C21" s="24">
        <f>[9]BS17A!$D22</f>
        <v>0</v>
      </c>
      <c r="D21" s="25">
        <f>[9]BS17A!$U22</f>
        <v>7760</v>
      </c>
      <c r="E21" s="26">
        <f>[9]BS17A!$V22</f>
        <v>0</v>
      </c>
      <c r="F21" s="8"/>
    </row>
    <row r="22" spans="1:6" ht="32.25" customHeight="1" x14ac:dyDescent="0.2">
      <c r="A22" s="22" t="s">
        <v>30</v>
      </c>
      <c r="B22" s="27" t="s">
        <v>31</v>
      </c>
      <c r="C22" s="24">
        <f>[9]BS17A!$D23</f>
        <v>1539</v>
      </c>
      <c r="D22" s="25">
        <f>[9]BS17A!$U23</f>
        <v>5210</v>
      </c>
      <c r="E22" s="26">
        <f>[9]BS17A!$V23</f>
        <v>8018190</v>
      </c>
      <c r="F22" s="8"/>
    </row>
    <row r="23" spans="1:6" ht="40.5" customHeight="1" x14ac:dyDescent="0.2">
      <c r="A23" s="22" t="s">
        <v>32</v>
      </c>
      <c r="B23" s="27" t="s">
        <v>33</v>
      </c>
      <c r="C23" s="24">
        <f>[9]BS17A!$D24</f>
        <v>775</v>
      </c>
      <c r="D23" s="25">
        <f>[9]BS17A!$U24</f>
        <v>6250</v>
      </c>
      <c r="E23" s="26">
        <f>[9]BS17A!$V24</f>
        <v>4843750</v>
      </c>
      <c r="F23" s="8"/>
    </row>
    <row r="24" spans="1:6" ht="27" customHeight="1" x14ac:dyDescent="0.2">
      <c r="A24" s="22" t="s">
        <v>34</v>
      </c>
      <c r="B24" s="27" t="s">
        <v>35</v>
      </c>
      <c r="C24" s="24">
        <f>[9]BS17A!$D25</f>
        <v>2059</v>
      </c>
      <c r="D24" s="25">
        <f>[9]BS17A!$U25</f>
        <v>7760</v>
      </c>
      <c r="E24" s="26">
        <f>[9]BS17A!$V25</f>
        <v>15977840</v>
      </c>
      <c r="F24" s="8"/>
    </row>
    <row r="25" spans="1:6" ht="15" customHeight="1" x14ac:dyDescent="0.2">
      <c r="A25" s="22" t="s">
        <v>36</v>
      </c>
      <c r="B25" s="28" t="s">
        <v>37</v>
      </c>
      <c r="C25" s="24">
        <f>+[9]BS17A!$D791</f>
        <v>171</v>
      </c>
      <c r="D25" s="25">
        <f>+[9]BS17A!$U791</f>
        <v>6330</v>
      </c>
      <c r="E25" s="26">
        <f>+[9]BS17A!$V791</f>
        <v>1082430</v>
      </c>
      <c r="F25" s="8"/>
    </row>
    <row r="26" spans="1:6" ht="15" customHeight="1" x14ac:dyDescent="0.2">
      <c r="A26" s="29" t="s">
        <v>38</v>
      </c>
      <c r="B26" s="30" t="s">
        <v>39</v>
      </c>
      <c r="C26" s="31">
        <f>+[9]BS17A!$D796</f>
        <v>0</v>
      </c>
      <c r="D26" s="32">
        <f>+[9]BS17A!$U796</f>
        <v>26240</v>
      </c>
      <c r="E26" s="33">
        <f>+[9]BS17A!$V796</f>
        <v>0</v>
      </c>
      <c r="F26" s="8"/>
    </row>
    <row r="27" spans="1:6" ht="18" customHeight="1" x14ac:dyDescent="0.2">
      <c r="A27" s="242" t="s">
        <v>40</v>
      </c>
      <c r="B27" s="243"/>
      <c r="C27" s="243"/>
      <c r="D27" s="243"/>
      <c r="E27" s="244"/>
      <c r="F27" s="8"/>
    </row>
    <row r="28" spans="1:6" ht="15" customHeight="1" x14ac:dyDescent="0.2">
      <c r="A28" s="17" t="s">
        <v>41</v>
      </c>
      <c r="B28" s="18" t="s">
        <v>42</v>
      </c>
      <c r="C28" s="19">
        <f>[9]BS17A!$D27</f>
        <v>1481</v>
      </c>
      <c r="D28" s="20">
        <f>[9]BS17A!$U27</f>
        <v>1020</v>
      </c>
      <c r="E28" s="21">
        <f>[9]BS17A!$V27</f>
        <v>1510620</v>
      </c>
      <c r="F28" s="8"/>
    </row>
    <row r="29" spans="1:6" ht="15" customHeight="1" x14ac:dyDescent="0.2">
      <c r="A29" s="22" t="s">
        <v>43</v>
      </c>
      <c r="B29" s="34" t="s">
        <v>44</v>
      </c>
      <c r="C29" s="24">
        <f>[9]BS17A!$D28</f>
        <v>0</v>
      </c>
      <c r="D29" s="25">
        <f>[9]BS17A!$U28</f>
        <v>1740</v>
      </c>
      <c r="E29" s="26">
        <f>[9]BS17A!$V28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24">
        <f>[9]BS17A!$D29</f>
        <v>0</v>
      </c>
      <c r="D30" s="25">
        <f>[9]BS17A!$U29</f>
        <v>550</v>
      </c>
      <c r="E30" s="26">
        <f>[9]BS17A!$V29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24">
        <f>[9]BS17A!$D30</f>
        <v>39</v>
      </c>
      <c r="D31" s="25">
        <f>[9]BS17A!$U30</f>
        <v>1380</v>
      </c>
      <c r="E31" s="26">
        <f>[9]BS17A!$V30</f>
        <v>53820</v>
      </c>
      <c r="F31" s="8"/>
    </row>
    <row r="32" spans="1:6" ht="15" customHeight="1" x14ac:dyDescent="0.2">
      <c r="A32" s="22" t="s">
        <v>49</v>
      </c>
      <c r="B32" s="23" t="s">
        <v>50</v>
      </c>
      <c r="C32" s="24">
        <f>[9]BS17A!$D31</f>
        <v>1222</v>
      </c>
      <c r="D32" s="25">
        <f>[9]BS17A!$U31</f>
        <v>1110</v>
      </c>
      <c r="E32" s="26">
        <f>[9]BS17A!$V31</f>
        <v>1356420</v>
      </c>
      <c r="F32" s="8"/>
    </row>
    <row r="33" spans="1:6" ht="15" customHeight="1" x14ac:dyDescent="0.2">
      <c r="A33" s="22" t="s">
        <v>51</v>
      </c>
      <c r="B33" s="34" t="s">
        <v>52</v>
      </c>
      <c r="C33" s="24">
        <f>[9]BS17A!$D32</f>
        <v>0</v>
      </c>
      <c r="D33" s="25">
        <f>[9]BS17A!$U32</f>
        <v>1020</v>
      </c>
      <c r="E33" s="26">
        <f>[9]BS17A!$V32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24">
        <f>+[9]BS17A!$D792</f>
        <v>0</v>
      </c>
      <c r="D34" s="25">
        <f>+[9]BS17A!$U792</f>
        <v>2480</v>
      </c>
      <c r="E34" s="26">
        <f>+[9]BS17A!$V792</f>
        <v>0</v>
      </c>
      <c r="F34" s="8"/>
    </row>
    <row r="35" spans="1:6" ht="15" customHeight="1" x14ac:dyDescent="0.2">
      <c r="A35" s="22" t="s">
        <v>55</v>
      </c>
      <c r="B35" s="34" t="s">
        <v>56</v>
      </c>
      <c r="C35" s="24">
        <f>+[9]BS17A!$D793</f>
        <v>400</v>
      </c>
      <c r="D35" s="25">
        <f>+[9]BS17A!$U793</f>
        <v>2480</v>
      </c>
      <c r="E35" s="26">
        <f>+[9]BS17A!$V793</f>
        <v>992000</v>
      </c>
      <c r="F35" s="8"/>
    </row>
    <row r="36" spans="1:6" ht="15" customHeight="1" x14ac:dyDescent="0.2">
      <c r="A36" s="22" t="s">
        <v>57</v>
      </c>
      <c r="B36" s="34" t="s">
        <v>58</v>
      </c>
      <c r="C36" s="24">
        <f>+[9]BS17A!$D794</f>
        <v>0</v>
      </c>
      <c r="D36" s="25">
        <f>+[9]BS17A!$U794</f>
        <v>9880</v>
      </c>
      <c r="E36" s="26">
        <f>+[9]BS17A!$V794</f>
        <v>0</v>
      </c>
      <c r="F36" s="8"/>
    </row>
    <row r="37" spans="1:6" ht="15" customHeight="1" x14ac:dyDescent="0.2">
      <c r="A37" s="29" t="s">
        <v>59</v>
      </c>
      <c r="B37" s="35" t="s">
        <v>60</v>
      </c>
      <c r="C37" s="31">
        <f>+[9]BS17A!$D795</f>
        <v>16</v>
      </c>
      <c r="D37" s="32">
        <f>+[9]BS17A!$U795</f>
        <v>11570</v>
      </c>
      <c r="E37" s="33">
        <f>+[9]BS17A!$V795</f>
        <v>185120</v>
      </c>
      <c r="F37" s="8"/>
    </row>
    <row r="38" spans="1:6" ht="18" customHeight="1" x14ac:dyDescent="0.2">
      <c r="A38" s="251" t="s">
        <v>61</v>
      </c>
      <c r="B38" s="254"/>
      <c r="C38" s="254"/>
      <c r="D38" s="254"/>
      <c r="E38" s="255"/>
      <c r="F38" s="8"/>
    </row>
    <row r="39" spans="1:6" ht="15" customHeight="1" x14ac:dyDescent="0.2">
      <c r="A39" s="17" t="s">
        <v>62</v>
      </c>
      <c r="B39" s="36" t="s">
        <v>63</v>
      </c>
      <c r="C39" s="19">
        <f>+[9]BS17A!$D797</f>
        <v>0</v>
      </c>
      <c r="D39" s="37">
        <f>+[9]BS17A!$U797</f>
        <v>2882</v>
      </c>
      <c r="E39" s="38">
        <f>+[9]BS17A!$V797</f>
        <v>0</v>
      </c>
      <c r="F39" s="8"/>
    </row>
    <row r="40" spans="1:6" ht="15" customHeight="1" x14ac:dyDescent="0.2">
      <c r="A40" s="29" t="s">
        <v>64</v>
      </c>
      <c r="B40" s="39" t="s">
        <v>65</v>
      </c>
      <c r="C40" s="31">
        <f>+[9]BS17A!$D798</f>
        <v>0</v>
      </c>
      <c r="D40" s="40">
        <f>+[9]BS17A!$U798</f>
        <v>6766</v>
      </c>
      <c r="E40" s="41">
        <f>+[9]BS17A!$V798</f>
        <v>0</v>
      </c>
      <c r="F40" s="8"/>
    </row>
    <row r="41" spans="1:6" ht="18" customHeight="1" x14ac:dyDescent="0.2">
      <c r="A41" s="251" t="s">
        <v>66</v>
      </c>
      <c r="B41" s="254"/>
      <c r="C41" s="254"/>
      <c r="D41" s="254"/>
      <c r="E41" s="255"/>
      <c r="F41" s="8"/>
    </row>
    <row r="42" spans="1:6" ht="15" customHeight="1" x14ac:dyDescent="0.2">
      <c r="A42" s="17" t="s">
        <v>67</v>
      </c>
      <c r="B42" s="42" t="s">
        <v>68</v>
      </c>
      <c r="C42" s="19">
        <f>+[9]BS17A!$D34</f>
        <v>0</v>
      </c>
      <c r="D42" s="37">
        <f>+[9]BS17A!$U34</f>
        <v>3340</v>
      </c>
      <c r="E42" s="38">
        <f>+[9]BS17A!$V34</f>
        <v>0</v>
      </c>
      <c r="F42" s="8"/>
    </row>
    <row r="43" spans="1:6" ht="15" customHeight="1" x14ac:dyDescent="0.2">
      <c r="A43" s="22" t="s">
        <v>69</v>
      </c>
      <c r="B43" s="23" t="s">
        <v>70</v>
      </c>
      <c r="C43" s="24">
        <f>+[9]BS17A!$D35</f>
        <v>642</v>
      </c>
      <c r="D43" s="25">
        <f>+[9]BS17A!$U35</f>
        <v>1840</v>
      </c>
      <c r="E43" s="26">
        <f>+[9]BS17A!$V35</f>
        <v>1181280</v>
      </c>
      <c r="F43" s="8"/>
    </row>
    <row r="44" spans="1:6" ht="15" customHeight="1" x14ac:dyDescent="0.2">
      <c r="A44" s="22" t="s">
        <v>71</v>
      </c>
      <c r="B44" s="23" t="s">
        <v>72</v>
      </c>
      <c r="C44" s="24">
        <f>+[9]BS17A!$D36</f>
        <v>1</v>
      </c>
      <c r="D44" s="25">
        <f>+[9]BS17A!$U36</f>
        <v>1840</v>
      </c>
      <c r="E44" s="26">
        <f>+[9]BS17A!$V36</f>
        <v>1840</v>
      </c>
      <c r="F44" s="8"/>
    </row>
    <row r="45" spans="1:6" ht="15" customHeight="1" x14ac:dyDescent="0.2">
      <c r="A45" s="29" t="s">
        <v>73</v>
      </c>
      <c r="B45" s="43" t="s">
        <v>74</v>
      </c>
      <c r="C45" s="31">
        <f>+[9]BS17A!$D37</f>
        <v>545</v>
      </c>
      <c r="D45" s="40">
        <f>+[9]BS17A!$U37</f>
        <v>550</v>
      </c>
      <c r="E45" s="41">
        <f>+[9]BS17A!$V37</f>
        <v>299750</v>
      </c>
      <c r="F45" s="8"/>
    </row>
    <row r="46" spans="1:6" ht="18" customHeight="1" x14ac:dyDescent="0.2">
      <c r="A46" s="251" t="s">
        <v>75</v>
      </c>
      <c r="B46" s="254"/>
      <c r="C46" s="254"/>
      <c r="D46" s="254"/>
      <c r="E46" s="255"/>
      <c r="F46" s="8"/>
    </row>
    <row r="47" spans="1:6" ht="15" customHeight="1" x14ac:dyDescent="0.2">
      <c r="A47" s="17" t="s">
        <v>76</v>
      </c>
      <c r="B47" s="42" t="s">
        <v>77</v>
      </c>
      <c r="C47" s="19">
        <f>+[9]BS17A!$D39</f>
        <v>0</v>
      </c>
      <c r="D47" s="37">
        <f>+[9]BS17A!$U39</f>
        <v>1590</v>
      </c>
      <c r="E47" s="38">
        <f>+[9]BS17A!$V39</f>
        <v>0</v>
      </c>
      <c r="F47" s="8"/>
    </row>
    <row r="48" spans="1:6" ht="15" customHeight="1" x14ac:dyDescent="0.2">
      <c r="A48" s="22" t="s">
        <v>78</v>
      </c>
      <c r="B48" s="23" t="s">
        <v>79</v>
      </c>
      <c r="C48" s="24">
        <f>+[9]BS17A!$D40</f>
        <v>4</v>
      </c>
      <c r="D48" s="25">
        <f>+[9]BS17A!$U40</f>
        <v>1590</v>
      </c>
      <c r="E48" s="26">
        <f>+[9]BS17A!$V40</f>
        <v>6360</v>
      </c>
      <c r="F48" s="8"/>
    </row>
    <row r="49" spans="1:7" ht="15" customHeight="1" x14ac:dyDescent="0.2">
      <c r="A49" s="29" t="s">
        <v>80</v>
      </c>
      <c r="B49" s="43" t="s">
        <v>81</v>
      </c>
      <c r="C49" s="31">
        <f>+[9]BS17A!$D41</f>
        <v>0</v>
      </c>
      <c r="D49" s="40">
        <f>+[9]BS17A!$U41</f>
        <v>910</v>
      </c>
      <c r="E49" s="41">
        <f>+[9]BS17A!$V41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16975</v>
      </c>
      <c r="D50" s="46"/>
      <c r="E50" s="47">
        <f>SUM(E14:E49)</f>
        <v>118905340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251" t="s">
        <v>83</v>
      </c>
      <c r="B53" s="254"/>
      <c r="C53" s="254"/>
      <c r="D53" s="254"/>
      <c r="E53" s="255"/>
      <c r="F53" s="51"/>
      <c r="G53" s="52"/>
    </row>
    <row r="54" spans="1:7" ht="38.25" x14ac:dyDescent="0.2">
      <c r="A54" s="11" t="s">
        <v>8</v>
      </c>
      <c r="B54" s="11" t="s">
        <v>84</v>
      </c>
      <c r="C54" s="12" t="s">
        <v>10</v>
      </c>
      <c r="D54" s="53"/>
      <c r="E54" s="14" t="s">
        <v>12</v>
      </c>
      <c r="F54" s="8"/>
    </row>
    <row r="55" spans="1:7" ht="18" customHeight="1" x14ac:dyDescent="0.2">
      <c r="A55" s="54" t="s">
        <v>85</v>
      </c>
      <c r="B55" s="55" t="s">
        <v>86</v>
      </c>
      <c r="C55" s="56">
        <f>+[9]BS17!$D12</f>
        <v>49171</v>
      </c>
      <c r="D55" s="57"/>
      <c r="E55" s="58">
        <f>+E56+E57+E58+E59+E60+E61+E65+E66+E67</f>
        <v>62917270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+[9]BS17!$D13</f>
        <v>18764</v>
      </c>
      <c r="D56" s="61"/>
      <c r="E56" s="62">
        <f>+[9]BS17A!V83</f>
        <v>18777180</v>
      </c>
      <c r="F56" s="8"/>
    </row>
    <row r="57" spans="1:7" ht="15" customHeight="1" x14ac:dyDescent="0.2">
      <c r="A57" s="22" t="s">
        <v>89</v>
      </c>
      <c r="B57" s="28" t="s">
        <v>90</v>
      </c>
      <c r="C57" s="24">
        <f>+[9]BS17!$D14</f>
        <v>21211</v>
      </c>
      <c r="D57" s="63"/>
      <c r="E57" s="64">
        <f>+[9]BS17A!V174</f>
        <v>22831450</v>
      </c>
      <c r="F57" s="8"/>
    </row>
    <row r="58" spans="1:7" ht="15" customHeight="1" x14ac:dyDescent="0.2">
      <c r="A58" s="22" t="s">
        <v>91</v>
      </c>
      <c r="B58" s="28" t="s">
        <v>92</v>
      </c>
      <c r="C58" s="24">
        <f>+[9]BS17!$D15</f>
        <v>1082</v>
      </c>
      <c r="D58" s="63"/>
      <c r="E58" s="64">
        <f>+[9]BS17A!V243</f>
        <v>3461820</v>
      </c>
      <c r="F58" s="8"/>
    </row>
    <row r="59" spans="1:7" ht="15" customHeight="1" x14ac:dyDescent="0.2">
      <c r="A59" s="22" t="s">
        <v>93</v>
      </c>
      <c r="B59" s="28" t="s">
        <v>94</v>
      </c>
      <c r="C59" s="24">
        <f>+[9]BS17!$D16</f>
        <v>0</v>
      </c>
      <c r="D59" s="63"/>
      <c r="E59" s="64">
        <f>+[9]BS17A!V289</f>
        <v>0</v>
      </c>
      <c r="F59" s="8"/>
    </row>
    <row r="60" spans="1:7" ht="15" customHeight="1" x14ac:dyDescent="0.2">
      <c r="A60" s="65" t="s">
        <v>95</v>
      </c>
      <c r="B60" s="30" t="s">
        <v>96</v>
      </c>
      <c r="C60" s="66">
        <f>+[9]BS17!$D17</f>
        <v>1086</v>
      </c>
      <c r="D60" s="67"/>
      <c r="E60" s="68">
        <f>+[9]BS17A!V295</f>
        <v>4604410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+[9]BS17!$D18</f>
        <v>4618</v>
      </c>
      <c r="D61" s="71"/>
      <c r="E61" s="72">
        <f>SUM(E62:E64)</f>
        <v>10538920</v>
      </c>
      <c r="F61" s="8"/>
    </row>
    <row r="62" spans="1:7" ht="15" customHeight="1" x14ac:dyDescent="0.2">
      <c r="A62" s="73"/>
      <c r="B62" s="42" t="s">
        <v>99</v>
      </c>
      <c r="C62" s="19">
        <f>+[9]BS17!$D19</f>
        <v>3927</v>
      </c>
      <c r="D62" s="74"/>
      <c r="E62" s="75">
        <f>+[9]BS17A!V362</f>
        <v>8070820</v>
      </c>
      <c r="F62" s="8"/>
    </row>
    <row r="63" spans="1:7" ht="15" customHeight="1" x14ac:dyDescent="0.2">
      <c r="A63" s="73"/>
      <c r="B63" s="28" t="s">
        <v>100</v>
      </c>
      <c r="C63" s="24">
        <f>+[9]BS17!$D20</f>
        <v>100</v>
      </c>
      <c r="D63" s="63"/>
      <c r="E63" s="64">
        <f>+[9]BS17A!V405</f>
        <v>237170</v>
      </c>
      <c r="F63" s="8"/>
    </row>
    <row r="64" spans="1:7" ht="15" customHeight="1" x14ac:dyDescent="0.2">
      <c r="A64" s="76"/>
      <c r="B64" s="43" t="s">
        <v>101</v>
      </c>
      <c r="C64" s="31">
        <f>+[9]BS17!$D21</f>
        <v>591</v>
      </c>
      <c r="D64" s="77"/>
      <c r="E64" s="78">
        <f>+[9]BS17A!V428</f>
        <v>2230930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+[9]BS17!$D22</f>
        <v>0</v>
      </c>
      <c r="D65" s="61"/>
      <c r="E65" s="62">
        <f>+[9]BS17A!V446</f>
        <v>0</v>
      </c>
      <c r="F65" s="8"/>
    </row>
    <row r="66" spans="1:7" ht="15" customHeight="1" x14ac:dyDescent="0.2">
      <c r="A66" s="22" t="s">
        <v>104</v>
      </c>
      <c r="B66" s="28" t="s">
        <v>105</v>
      </c>
      <c r="C66" s="24">
        <f>+[9]BS17!$D23</f>
        <v>61</v>
      </c>
      <c r="D66" s="63"/>
      <c r="E66" s="64">
        <f>+[9]BS17A!V456</f>
        <v>78570</v>
      </c>
      <c r="F66" s="8"/>
    </row>
    <row r="67" spans="1:7" ht="15" customHeight="1" x14ac:dyDescent="0.2">
      <c r="A67" s="65" t="s">
        <v>106</v>
      </c>
      <c r="B67" s="30" t="s">
        <v>107</v>
      </c>
      <c r="C67" s="66">
        <f>+[9]BS17!$D24</f>
        <v>2349</v>
      </c>
      <c r="D67" s="67"/>
      <c r="E67" s="68">
        <f>+[9]BS17A!V500</f>
        <v>2624920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+[9]BS17!$D25</f>
        <v>4141</v>
      </c>
      <c r="D68" s="83"/>
      <c r="E68" s="84">
        <f>SUM(E69:E74)</f>
        <v>52345900</v>
      </c>
      <c r="F68" s="8"/>
    </row>
    <row r="69" spans="1:7" ht="15" customHeight="1" x14ac:dyDescent="0.2">
      <c r="A69" s="22" t="s">
        <v>110</v>
      </c>
      <c r="B69" s="28" t="s">
        <v>111</v>
      </c>
      <c r="C69" s="24">
        <f>+[9]BS17!$D26</f>
        <v>2711</v>
      </c>
      <c r="D69" s="63"/>
      <c r="E69" s="64">
        <f>+[9]BS17A!V535</f>
        <v>19878460</v>
      </c>
      <c r="F69" s="8"/>
    </row>
    <row r="70" spans="1:7" ht="15" customHeight="1" x14ac:dyDescent="0.2">
      <c r="A70" s="22" t="s">
        <v>112</v>
      </c>
      <c r="B70" s="28" t="s">
        <v>113</v>
      </c>
      <c r="C70" s="24">
        <f>+[9]BS17!$D27</f>
        <v>5</v>
      </c>
      <c r="D70" s="63"/>
      <c r="E70" s="64">
        <f>+[9]BS17A!V590</f>
        <v>93890</v>
      </c>
      <c r="F70" s="8"/>
    </row>
    <row r="71" spans="1:7" ht="15" customHeight="1" x14ac:dyDescent="0.2">
      <c r="A71" s="22" t="s">
        <v>114</v>
      </c>
      <c r="B71" s="28" t="s">
        <v>115</v>
      </c>
      <c r="C71" s="24">
        <f>+[9]BS17!$D28</f>
        <v>377</v>
      </c>
      <c r="D71" s="63"/>
      <c r="E71" s="64">
        <f>+[9]BS17A!V615</f>
        <v>18037400</v>
      </c>
      <c r="F71" s="8"/>
    </row>
    <row r="72" spans="1:7" ht="15" customHeight="1" x14ac:dyDescent="0.2">
      <c r="A72" s="22" t="s">
        <v>116</v>
      </c>
      <c r="B72" s="28" t="s">
        <v>117</v>
      </c>
      <c r="C72" s="24">
        <f>+[9]BS17!$D30+[9]BS17!$D32</f>
        <v>1048</v>
      </c>
      <c r="D72" s="63"/>
      <c r="E72" s="64">
        <f>+[9]BS17A!V633-[9]BS17A!V634</f>
        <v>14336150</v>
      </c>
      <c r="F72" s="8"/>
    </row>
    <row r="73" spans="1:7" ht="15" customHeight="1" x14ac:dyDescent="0.2">
      <c r="A73" s="85"/>
      <c r="B73" s="28" t="s">
        <v>118</v>
      </c>
      <c r="C73" s="24">
        <f>+[9]BS17!$D31</f>
        <v>0</v>
      </c>
      <c r="D73" s="63"/>
      <c r="E73" s="64">
        <f>+[9]BS17A!V634</f>
        <v>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+[9]BS17!$D33</f>
        <v>0</v>
      </c>
      <c r="D74" s="89"/>
      <c r="E74" s="90">
        <f>+[9]BS17A!V654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+[9]BS17!$D34</f>
        <v>0</v>
      </c>
      <c r="D75" s="94"/>
      <c r="E75" s="95">
        <f>+[9]BS17A!V779</f>
        <v>0</v>
      </c>
      <c r="F75" s="8"/>
    </row>
    <row r="76" spans="1:7" ht="15" customHeight="1" x14ac:dyDescent="0.2">
      <c r="A76" s="96"/>
      <c r="B76" s="97" t="s">
        <v>123</v>
      </c>
      <c r="C76" s="56">
        <f>+C55+C68+C75</f>
        <v>53312</v>
      </c>
      <c r="D76" s="57"/>
      <c r="E76" s="98">
        <f>+E55+E68+E75</f>
        <v>115263170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256" t="s">
        <v>124</v>
      </c>
      <c r="B79" s="252"/>
      <c r="C79" s="252"/>
      <c r="D79" s="252"/>
      <c r="E79" s="253"/>
      <c r="F79" s="51"/>
      <c r="G79" s="52"/>
    </row>
    <row r="80" spans="1:7" ht="38.25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19">
        <f>+[9]BS17!D49</f>
        <v>0</v>
      </c>
      <c r="D81" s="61"/>
      <c r="E81" s="103">
        <f>+SUM([9]BS17A!V670+[9]BS17A!V697+[9]BS17A!V716+[9]BS17A!V723+[9]BS17A!V726+[9]BS17A!V743+[9]BS17A!V760)</f>
        <v>0</v>
      </c>
      <c r="F81" s="8"/>
    </row>
    <row r="82" spans="1:6" ht="15" customHeight="1" x14ac:dyDescent="0.2">
      <c r="A82" s="104">
        <v>2001</v>
      </c>
      <c r="B82" s="28" t="s">
        <v>127</v>
      </c>
      <c r="C82" s="24">
        <f>+[9]BS17!E120</f>
        <v>1254</v>
      </c>
      <c r="D82" s="63"/>
      <c r="E82" s="105">
        <f>+[9]BS17A!V1562</f>
        <v>10305970</v>
      </c>
      <c r="F82" s="8"/>
    </row>
    <row r="83" spans="1:6" ht="15" customHeight="1" x14ac:dyDescent="0.2">
      <c r="A83" s="65" t="s">
        <v>128</v>
      </c>
      <c r="B83" s="30" t="s">
        <v>129</v>
      </c>
      <c r="C83" s="66">
        <f>+[9]BS17A!D1837</f>
        <v>30</v>
      </c>
      <c r="D83" s="67"/>
      <c r="E83" s="106">
        <f>+[9]BS17A!V1837</f>
        <v>1957140</v>
      </c>
      <c r="F83" s="8"/>
    </row>
    <row r="84" spans="1:6" ht="17.25" customHeight="1" x14ac:dyDescent="0.2">
      <c r="A84" s="96"/>
      <c r="B84" s="97" t="s">
        <v>130</v>
      </c>
      <c r="C84" s="56">
        <f>+SUM(C81:C83)</f>
        <v>1284</v>
      </c>
      <c r="D84" s="57"/>
      <c r="E84" s="107">
        <f>SUM(E81:E83)</f>
        <v>12263110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239" t="s">
        <v>131</v>
      </c>
      <c r="B87" s="240"/>
      <c r="C87" s="240"/>
      <c r="D87" s="240"/>
      <c r="E87" s="240"/>
      <c r="F87" s="241"/>
    </row>
    <row r="88" spans="1:6" ht="33.75" customHeight="1" x14ac:dyDescent="0.15">
      <c r="A88" s="260" t="s">
        <v>8</v>
      </c>
      <c r="B88" s="260" t="s">
        <v>9</v>
      </c>
      <c r="C88" s="242" t="s">
        <v>10</v>
      </c>
      <c r="D88" s="243"/>
      <c r="E88" s="243"/>
      <c r="F88" s="244"/>
    </row>
    <row r="89" spans="1:6" ht="35.25" customHeight="1" x14ac:dyDescent="0.15">
      <c r="A89" s="261"/>
      <c r="B89" s="261"/>
      <c r="C89" s="99" t="s">
        <v>132</v>
      </c>
      <c r="D89" s="108" t="s">
        <v>133</v>
      </c>
      <c r="E89" s="13" t="s">
        <v>134</v>
      </c>
      <c r="F89" s="1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+[9]BS17!F66</f>
        <v>0</v>
      </c>
      <c r="D90" s="110">
        <f>+[9]BS17!G66</f>
        <v>0</v>
      </c>
      <c r="E90" s="111">
        <f>+[9]BS17!H66</f>
        <v>0</v>
      </c>
      <c r="F90" s="112">
        <f>[9]BS17A!V807</f>
        <v>0</v>
      </c>
    </row>
    <row r="91" spans="1:6" ht="15" customHeight="1" x14ac:dyDescent="0.2">
      <c r="A91" s="22" t="s">
        <v>137</v>
      </c>
      <c r="B91" s="28" t="s">
        <v>138</v>
      </c>
      <c r="C91" s="113">
        <f>+[9]BS17!F67</f>
        <v>106</v>
      </c>
      <c r="D91" s="114">
        <f>+[9]BS17!G67</f>
        <v>0</v>
      </c>
      <c r="E91" s="115">
        <f>+[9]BS17!H67</f>
        <v>0</v>
      </c>
      <c r="F91" s="116">
        <f>[9]BS17A!V878</f>
        <v>37562290</v>
      </c>
    </row>
    <row r="92" spans="1:6" ht="15" customHeight="1" x14ac:dyDescent="0.2">
      <c r="A92" s="22" t="s">
        <v>139</v>
      </c>
      <c r="B92" s="28" t="s">
        <v>140</v>
      </c>
      <c r="C92" s="113">
        <f>+[9]BS17!F68</f>
        <v>16</v>
      </c>
      <c r="D92" s="114">
        <f>+[9]BS17!G68</f>
        <v>1</v>
      </c>
      <c r="E92" s="115">
        <f>+[9]BS17!H68</f>
        <v>0</v>
      </c>
      <c r="F92" s="116">
        <f>[9]BS17A!V957</f>
        <v>1300535</v>
      </c>
    </row>
    <row r="93" spans="1:6" ht="15" customHeight="1" x14ac:dyDescent="0.2">
      <c r="A93" s="22" t="s">
        <v>141</v>
      </c>
      <c r="B93" s="28" t="s">
        <v>142</v>
      </c>
      <c r="C93" s="113">
        <f>+[9]BS17!F69</f>
        <v>3</v>
      </c>
      <c r="D93" s="114">
        <f>+[9]BS17!G69</f>
        <v>1</v>
      </c>
      <c r="E93" s="115">
        <f>+[9]BS17!H69</f>
        <v>0</v>
      </c>
      <c r="F93" s="116">
        <f>[9]BS17A!V1033</f>
        <v>193030</v>
      </c>
    </row>
    <row r="94" spans="1:6" ht="15" customHeight="1" x14ac:dyDescent="0.2">
      <c r="A94" s="22" t="s">
        <v>143</v>
      </c>
      <c r="B94" s="28" t="s">
        <v>144</v>
      </c>
      <c r="C94" s="113">
        <f>+[9]BS17!F70</f>
        <v>91</v>
      </c>
      <c r="D94" s="114">
        <f>+[9]BS17!G70</f>
        <v>3</v>
      </c>
      <c r="E94" s="115">
        <f>+[9]BS17!H70</f>
        <v>0</v>
      </c>
      <c r="F94" s="116">
        <f>[9]BS17A!V1094</f>
        <v>5286240</v>
      </c>
    </row>
    <row r="95" spans="1:6" ht="15" customHeight="1" x14ac:dyDescent="0.2">
      <c r="A95" s="22" t="s">
        <v>145</v>
      </c>
      <c r="B95" s="28" t="s">
        <v>146</v>
      </c>
      <c r="C95" s="113">
        <f>+[9]BS17!F71</f>
        <v>114</v>
      </c>
      <c r="D95" s="114">
        <f>+[9]BS17!G71</f>
        <v>1</v>
      </c>
      <c r="E95" s="115">
        <f>+[9]BS17!H71</f>
        <v>0</v>
      </c>
      <c r="F95" s="116">
        <f>[9]BS17A!V1162</f>
        <v>2768245</v>
      </c>
    </row>
    <row r="96" spans="1:6" ht="15" customHeight="1" x14ac:dyDescent="0.2">
      <c r="A96" s="22" t="s">
        <v>147</v>
      </c>
      <c r="B96" s="28" t="s">
        <v>148</v>
      </c>
      <c r="C96" s="113">
        <f>+[9]BS17!F72</f>
        <v>0</v>
      </c>
      <c r="D96" s="114">
        <f>+[9]BS17!G72</f>
        <v>0</v>
      </c>
      <c r="E96" s="115">
        <f>+[9]BS17!H72</f>
        <v>0</v>
      </c>
      <c r="F96" s="116">
        <f>[9]BS17A!V1210</f>
        <v>0</v>
      </c>
    </row>
    <row r="97" spans="1:6" ht="15" customHeight="1" x14ac:dyDescent="0.2">
      <c r="A97" s="22" t="s">
        <v>149</v>
      </c>
      <c r="B97" s="28" t="s">
        <v>150</v>
      </c>
      <c r="C97" s="113">
        <f>+[9]BS17!F73</f>
        <v>3</v>
      </c>
      <c r="D97" s="114">
        <f>+[9]BS17!G73</f>
        <v>0</v>
      </c>
      <c r="E97" s="115">
        <f>+[9]BS17!H73</f>
        <v>0</v>
      </c>
      <c r="F97" s="116">
        <f>[9]BS17A!V1276</f>
        <v>199880</v>
      </c>
    </row>
    <row r="98" spans="1:6" ht="15" customHeight="1" x14ac:dyDescent="0.2">
      <c r="A98" s="22" t="s">
        <v>151</v>
      </c>
      <c r="B98" s="28" t="s">
        <v>152</v>
      </c>
      <c r="C98" s="113">
        <f>+[9]BS17!F74</f>
        <v>186</v>
      </c>
      <c r="D98" s="114">
        <f>+[9]BS17!G74</f>
        <v>11</v>
      </c>
      <c r="E98" s="115">
        <f>+[9]BS17!H74</f>
        <v>0</v>
      </c>
      <c r="F98" s="116">
        <f>[9]BS17A!V1346</f>
        <v>49202660</v>
      </c>
    </row>
    <row r="99" spans="1:6" ht="15" customHeight="1" x14ac:dyDescent="0.2">
      <c r="A99" s="22" t="s">
        <v>153</v>
      </c>
      <c r="B99" s="28" t="s">
        <v>154</v>
      </c>
      <c r="C99" s="113">
        <f>+[9]BS17!F75</f>
        <v>14</v>
      </c>
      <c r="D99" s="114">
        <f>+[9]BS17!G75</f>
        <v>0</v>
      </c>
      <c r="E99" s="115">
        <f>+[9]BS17!H75</f>
        <v>0</v>
      </c>
      <c r="F99" s="116">
        <f>[9]BS17A!V1430</f>
        <v>1353900</v>
      </c>
    </row>
    <row r="100" spans="1:6" ht="15" customHeight="1" x14ac:dyDescent="0.2">
      <c r="A100" s="22" t="s">
        <v>155</v>
      </c>
      <c r="B100" s="28" t="s">
        <v>156</v>
      </c>
      <c r="C100" s="113">
        <f>+[9]BS17!F76</f>
        <v>12</v>
      </c>
      <c r="D100" s="114">
        <f>+[9]BS17!G76</f>
        <v>0</v>
      </c>
      <c r="E100" s="115">
        <f>+[9]BS17!H76</f>
        <v>0</v>
      </c>
      <c r="F100" s="116">
        <f>[9]BS17A!V1477</f>
        <v>2334440</v>
      </c>
    </row>
    <row r="101" spans="1:6" ht="15" customHeight="1" x14ac:dyDescent="0.2">
      <c r="A101" s="22" t="s">
        <v>157</v>
      </c>
      <c r="B101" s="28" t="s">
        <v>158</v>
      </c>
      <c r="C101" s="113">
        <f>+[9]BS17!F77</f>
        <v>8</v>
      </c>
      <c r="D101" s="114">
        <f>+[9]BS17!G77</f>
        <v>1</v>
      </c>
      <c r="E101" s="115">
        <f>+[9]BS17!H77</f>
        <v>0</v>
      </c>
      <c r="F101" s="116">
        <f>[9]BS17A!V1580</f>
        <v>1521565</v>
      </c>
    </row>
    <row r="102" spans="1:6" ht="15" customHeight="1" x14ac:dyDescent="0.2">
      <c r="A102" s="65" t="s">
        <v>159</v>
      </c>
      <c r="B102" s="30" t="s">
        <v>160</v>
      </c>
      <c r="C102" s="117">
        <f>+[9]BS17!F78</f>
        <v>33</v>
      </c>
      <c r="D102" s="118">
        <f>+[9]BS17!G78</f>
        <v>2</v>
      </c>
      <c r="E102" s="119">
        <f>+[9]BS17!H78</f>
        <v>0</v>
      </c>
      <c r="F102" s="120">
        <f>[9]BS17A!V1585</f>
        <v>6314620</v>
      </c>
    </row>
    <row r="103" spans="1:6" ht="15" customHeight="1" x14ac:dyDescent="0.2">
      <c r="A103" s="17" t="s">
        <v>161</v>
      </c>
      <c r="B103" s="36" t="s">
        <v>162</v>
      </c>
      <c r="C103" s="109">
        <f>+[9]BS17!F79</f>
        <v>68</v>
      </c>
      <c r="D103" s="110">
        <f>+[9]BS17!G79</f>
        <v>0</v>
      </c>
      <c r="E103" s="111">
        <f>+[9]BS17!H79</f>
        <v>0</v>
      </c>
      <c r="F103" s="112">
        <f>+[9]BS17A!V1619</f>
        <v>7589250</v>
      </c>
    </row>
    <row r="104" spans="1:6" ht="15" customHeight="1" x14ac:dyDescent="0.2">
      <c r="A104" s="22"/>
      <c r="B104" s="28" t="s">
        <v>163</v>
      </c>
      <c r="C104" s="113">
        <f>+[9]BS17A!D1623</f>
        <v>0</v>
      </c>
      <c r="D104" s="114">
        <f>+[9]BS17A!F1623</f>
        <v>0</v>
      </c>
      <c r="E104" s="115">
        <f>+[9]BS17A!G1623</f>
        <v>0</v>
      </c>
      <c r="F104" s="116">
        <f>+[9]BS17A!V1623</f>
        <v>0</v>
      </c>
    </row>
    <row r="105" spans="1:6" ht="15" customHeight="1" x14ac:dyDescent="0.2">
      <c r="A105" s="22"/>
      <c r="B105" s="28" t="s">
        <v>164</v>
      </c>
      <c r="C105" s="113">
        <f>+[9]BS17A!D1622</f>
        <v>52</v>
      </c>
      <c r="D105" s="114">
        <f>+[9]BS17A!F1622</f>
        <v>0</v>
      </c>
      <c r="E105" s="115">
        <f>+[9]BS17A!G1622</f>
        <v>0</v>
      </c>
      <c r="F105" s="116">
        <f>+[9]BS17A!V1622</f>
        <v>6154200</v>
      </c>
    </row>
    <row r="106" spans="1:6" ht="15" customHeight="1" x14ac:dyDescent="0.2">
      <c r="A106" s="29"/>
      <c r="B106" s="39" t="s">
        <v>165</v>
      </c>
      <c r="C106" s="121">
        <f>+[9]BS17A!D1620+[9]BS17A!D1621</f>
        <v>16</v>
      </c>
      <c r="D106" s="122">
        <f>+[9]BS17A!F1620+[9]BS17A!F1621</f>
        <v>0</v>
      </c>
      <c r="E106" s="123">
        <f>+[9]BS17A!G1620+[9]BS17A!G1621</f>
        <v>0</v>
      </c>
      <c r="F106" s="124">
        <f>+[9]BS17A!V1620+[9]BS17A!V1621</f>
        <v>1435050</v>
      </c>
    </row>
    <row r="107" spans="1:6" ht="15" customHeight="1" x14ac:dyDescent="0.2">
      <c r="A107" s="59" t="s">
        <v>166</v>
      </c>
      <c r="B107" s="79" t="s">
        <v>167</v>
      </c>
      <c r="C107" s="125">
        <f>+[9]BS17!F80</f>
        <v>46</v>
      </c>
      <c r="D107" s="126">
        <f>+[9]BS17!G80</f>
        <v>4</v>
      </c>
      <c r="E107" s="127">
        <f>+[9]BS17!H80</f>
        <v>0</v>
      </c>
      <c r="F107" s="128">
        <f>+[9]BS17A!V1627</f>
        <v>7325135</v>
      </c>
    </row>
    <row r="108" spans="1:6" ht="15" customHeight="1" x14ac:dyDescent="0.2">
      <c r="A108" s="129">
        <v>2106</v>
      </c>
      <c r="B108" s="39" t="s">
        <v>168</v>
      </c>
      <c r="C108" s="121">
        <f>[9]BS17A!D1833</f>
        <v>2</v>
      </c>
      <c r="D108" s="122">
        <f>[9]BS17A!F1833</f>
        <v>0</v>
      </c>
      <c r="E108" s="123">
        <f>[9]BS17A!G1833</f>
        <v>0</v>
      </c>
      <c r="F108" s="124">
        <f>+[9]BS17A!V1833</f>
        <v>98980</v>
      </c>
    </row>
    <row r="109" spans="1:6" ht="15" customHeight="1" x14ac:dyDescent="0.2">
      <c r="A109" s="130"/>
      <c r="B109" s="131" t="s">
        <v>169</v>
      </c>
      <c r="C109" s="132">
        <f>SUM(C90:C108)-C103</f>
        <v>702</v>
      </c>
      <c r="D109" s="133">
        <f>SUM(D90:D108)-D103</f>
        <v>24</v>
      </c>
      <c r="E109" s="134">
        <f>+SUM(E90:E103)+E107+E108</f>
        <v>0</v>
      </c>
      <c r="F109" s="135">
        <f>+SUM(F90:F103)+F107+F108</f>
        <v>123050770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256" t="s">
        <v>170</v>
      </c>
      <c r="B112" s="252"/>
      <c r="C112" s="252"/>
      <c r="D112" s="252"/>
      <c r="E112" s="253"/>
      <c r="F112" s="5"/>
    </row>
    <row r="113" spans="1:6" ht="38.25" x14ac:dyDescent="0.2">
      <c r="A113" s="11" t="s">
        <v>8</v>
      </c>
      <c r="B113" s="11" t="s">
        <v>9</v>
      </c>
      <c r="C113" s="12" t="s">
        <v>10</v>
      </c>
      <c r="D113" s="13" t="s">
        <v>11</v>
      </c>
      <c r="E113" s="1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19">
        <f>+[9]BS17A!D1624</f>
        <v>82</v>
      </c>
      <c r="D114" s="136">
        <f>+[9]BS17A!U1624</f>
        <v>118340</v>
      </c>
      <c r="E114" s="137">
        <f>+[9]BS17A!V1624</f>
        <v>9703880</v>
      </c>
      <c r="F114" s="8"/>
    </row>
    <row r="115" spans="1:6" ht="15" customHeight="1" x14ac:dyDescent="0.2">
      <c r="A115" s="29" t="s">
        <v>173</v>
      </c>
      <c r="B115" s="138" t="s">
        <v>174</v>
      </c>
      <c r="C115" s="66">
        <f>+[9]BS17A!D1625</f>
        <v>8</v>
      </c>
      <c r="D115" s="139">
        <f>+[9]BS17A!U1625</f>
        <v>124520</v>
      </c>
      <c r="E115" s="106">
        <f>+[9]BS17A!V1625</f>
        <v>996160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90</v>
      </c>
      <c r="D116" s="57"/>
      <c r="E116" s="107">
        <f>SUM(E114:E115)</f>
        <v>10700040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262" t="s">
        <v>176</v>
      </c>
      <c r="B119" s="262"/>
      <c r="C119" s="262"/>
      <c r="D119" s="8"/>
      <c r="E119" s="8"/>
      <c r="F119" s="5"/>
    </row>
    <row r="120" spans="1:6" ht="28.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+[9]BS17A!V1859+[9]BS17A!V1876+[9]BS17A!V1895</f>
        <v>15124140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256" t="s">
        <v>179</v>
      </c>
      <c r="B124" s="252"/>
      <c r="C124" s="252"/>
      <c r="D124" s="252"/>
      <c r="E124" s="253"/>
      <c r="F124" s="5"/>
    </row>
    <row r="125" spans="1:6" ht="38.25" x14ac:dyDescent="0.2">
      <c r="A125" s="11" t="s">
        <v>8</v>
      </c>
      <c r="B125" s="11" t="s">
        <v>9</v>
      </c>
      <c r="C125" s="12" t="s">
        <v>10</v>
      </c>
      <c r="D125" s="13" t="s">
        <v>11</v>
      </c>
      <c r="E125" s="1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19">
        <f>+[9]BS17A!$D59</f>
        <v>5291</v>
      </c>
      <c r="D126" s="37">
        <f>+[9]BS17A!$U59</f>
        <v>30310</v>
      </c>
      <c r="E126" s="145">
        <f>+[9]BS17A!$V59</f>
        <v>160370210</v>
      </c>
      <c r="F126" s="8"/>
    </row>
    <row r="127" spans="1:6" ht="15" customHeight="1" x14ac:dyDescent="0.2">
      <c r="A127" s="22" t="s">
        <v>182</v>
      </c>
      <c r="B127" s="23" t="s">
        <v>183</v>
      </c>
      <c r="C127" s="24">
        <f>+[9]BS17A!$D60</f>
        <v>0</v>
      </c>
      <c r="D127" s="25">
        <f>+[9]BS17A!$U60</f>
        <v>27900</v>
      </c>
      <c r="E127" s="146">
        <f>+[9]BS17A!$V60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24">
        <f>+[9]BS17A!$D61</f>
        <v>0</v>
      </c>
      <c r="D128" s="25">
        <f>+[9]BS17A!$U61</f>
        <v>23260</v>
      </c>
      <c r="E128" s="146">
        <f>+[9]BS17A!$V61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24">
        <f>SUM([9]BS17A!D62:D64)</f>
        <v>0</v>
      </c>
      <c r="D129" s="25">
        <f>+[9]BS17A!$U62</f>
        <v>126000</v>
      </c>
      <c r="E129" s="146">
        <f>SUM([9]BS17A!V62:V64)</f>
        <v>0</v>
      </c>
      <c r="F129" s="8"/>
    </row>
    <row r="130" spans="1:6" ht="15" customHeight="1" x14ac:dyDescent="0.2">
      <c r="A130" s="22" t="s">
        <v>188</v>
      </c>
      <c r="B130" s="23" t="s">
        <v>189</v>
      </c>
      <c r="C130" s="24">
        <f>SUM([9]BS17A!D65:D67)</f>
        <v>336</v>
      </c>
      <c r="D130" s="25">
        <f>+[9]BS17A!$U65</f>
        <v>60860</v>
      </c>
      <c r="E130" s="146">
        <f>SUM([9]BS17A!V65:V67)</f>
        <v>20448960</v>
      </c>
      <c r="F130" s="8"/>
    </row>
    <row r="131" spans="1:6" ht="15" customHeight="1" x14ac:dyDescent="0.2">
      <c r="A131" s="22" t="s">
        <v>190</v>
      </c>
      <c r="B131" s="23" t="s">
        <v>191</v>
      </c>
      <c r="C131" s="24">
        <f>+[9]BS17A!D68</f>
        <v>278</v>
      </c>
      <c r="D131" s="25">
        <f>+[9]BS17A!$U68</f>
        <v>54600</v>
      </c>
      <c r="E131" s="146">
        <f>+[9]BS17A!$V68</f>
        <v>15178800</v>
      </c>
      <c r="F131" s="8"/>
    </row>
    <row r="132" spans="1:6" ht="15" customHeight="1" x14ac:dyDescent="0.2">
      <c r="A132" s="22" t="s">
        <v>192</v>
      </c>
      <c r="B132" s="23" t="s">
        <v>193</v>
      </c>
      <c r="C132" s="24">
        <f>+[9]BS17A!$D69</f>
        <v>0</v>
      </c>
      <c r="D132" s="25">
        <f>+[9]BS17A!$U69</f>
        <v>15500</v>
      </c>
      <c r="E132" s="146">
        <f>+[9]BS17A!$V69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24">
        <f>+[9]BS17A!$D70</f>
        <v>0</v>
      </c>
      <c r="D133" s="25">
        <f>+[9]BS17A!$U70</f>
        <v>24280</v>
      </c>
      <c r="E133" s="146">
        <f>+[9]BS17A!$V70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24">
        <f>+[9]BS17A!$D73</f>
        <v>0</v>
      </c>
      <c r="D134" s="25">
        <f>+[9]BS17A!$U73</f>
        <v>24470</v>
      </c>
      <c r="E134" s="146">
        <f>+[9]BS17A!$V73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24">
        <f>+[9]BS17A!$D71</f>
        <v>0</v>
      </c>
      <c r="D135" s="25">
        <f>+[9]BS17A!$U71</f>
        <v>25270</v>
      </c>
      <c r="E135" s="146">
        <f>+[9]BS17A!$V71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24">
        <f>+[9]BS17A!$D76</f>
        <v>0</v>
      </c>
      <c r="D136" s="25">
        <f>+[9]BS17A!$U76</f>
        <v>30310</v>
      </c>
      <c r="E136" s="146">
        <f>+[9]BS17A!$V76</f>
        <v>0</v>
      </c>
      <c r="F136" s="8"/>
    </row>
    <row r="137" spans="1:6" ht="15" customHeight="1" x14ac:dyDescent="0.2">
      <c r="A137" s="22" t="s">
        <v>202</v>
      </c>
      <c r="B137" s="28" t="s">
        <v>203</v>
      </c>
      <c r="C137" s="24">
        <f>+[9]BS17A!$D79</f>
        <v>46</v>
      </c>
      <c r="D137" s="25">
        <f>+[9]BS17A!$U79</f>
        <v>5880</v>
      </c>
      <c r="E137" s="146">
        <f>+[9]BS17A!$V79</f>
        <v>270480</v>
      </c>
      <c r="F137" s="8"/>
    </row>
    <row r="138" spans="1:6" ht="15" customHeight="1" x14ac:dyDescent="0.2">
      <c r="A138" s="22" t="s">
        <v>204</v>
      </c>
      <c r="B138" s="28" t="s">
        <v>205</v>
      </c>
      <c r="C138" s="24">
        <f>+[9]BS17A!$D80</f>
        <v>0</v>
      </c>
      <c r="D138" s="25">
        <f>+[9]BS17A!$U80</f>
        <v>42470</v>
      </c>
      <c r="E138" s="146">
        <f>+[9]BS17A!$V80</f>
        <v>0</v>
      </c>
      <c r="F138" s="8"/>
    </row>
    <row r="139" spans="1:6" ht="15" customHeight="1" x14ac:dyDescent="0.2">
      <c r="A139" s="29"/>
      <c r="B139" s="147" t="s">
        <v>206</v>
      </c>
      <c r="C139" s="148">
        <f>SUM(C126:C138)</f>
        <v>5951</v>
      </c>
      <c r="D139" s="149"/>
      <c r="E139" s="150">
        <f>SUM(E126:E138)</f>
        <v>196268450</v>
      </c>
      <c r="F139" s="8"/>
    </row>
    <row r="140" spans="1:6" ht="15" customHeight="1" x14ac:dyDescent="0.2">
      <c r="A140" s="17"/>
      <c r="B140" s="81" t="s">
        <v>207</v>
      </c>
      <c r="C140" s="19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24">
        <f>+[9]BS17A!$D72</f>
        <v>0</v>
      </c>
      <c r="D141" s="25">
        <f>+[9]BS17A!$U72</f>
        <v>10190</v>
      </c>
      <c r="E141" s="146">
        <f>+[9]BS17A!$V72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24">
        <f>+[9]BS17A!$D74</f>
        <v>0</v>
      </c>
      <c r="D142" s="25">
        <f>+[9]BS17A!$U74</f>
        <v>10190</v>
      </c>
      <c r="E142" s="146">
        <f>+[9]BS17A!$V74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24">
        <f>+[9]BS17A!$D75</f>
        <v>9</v>
      </c>
      <c r="D143" s="25">
        <f>+[9]BS17A!$U75</f>
        <v>4490</v>
      </c>
      <c r="E143" s="146">
        <f>+[9]BS17A!$V75</f>
        <v>40410</v>
      </c>
      <c r="F143" s="8"/>
    </row>
    <row r="144" spans="1:6" ht="15" customHeight="1" x14ac:dyDescent="0.2">
      <c r="A144" s="22" t="s">
        <v>214</v>
      </c>
      <c r="B144" s="23" t="s">
        <v>215</v>
      </c>
      <c r="C144" s="24">
        <f>+[9]BS17A!$D77</f>
        <v>0</v>
      </c>
      <c r="D144" s="25">
        <f>+[9]BS17A!$U77</f>
        <v>81940</v>
      </c>
      <c r="E144" s="146">
        <f>+[9]BS17A!$V77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24">
        <f>+[9]BS17A!$D78</f>
        <v>0</v>
      </c>
      <c r="D145" s="25">
        <f>+[9]BS17A!$U78</f>
        <v>9670</v>
      </c>
      <c r="E145" s="146">
        <f>+[9]BS17A!$V78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24">
        <f>+[9]BS17A!$D81</f>
        <v>0</v>
      </c>
      <c r="D146" s="25">
        <f>+[9]BS17A!$U81</f>
        <v>7450</v>
      </c>
      <c r="E146" s="146">
        <f>+[9]BS17A!$V81</f>
        <v>0</v>
      </c>
      <c r="F146" s="8"/>
    </row>
    <row r="147" spans="1:6" ht="15" customHeight="1" x14ac:dyDescent="0.2">
      <c r="A147" s="29"/>
      <c r="B147" s="147" t="s">
        <v>220</v>
      </c>
      <c r="C147" s="148">
        <f>SUM(C141:C146)</f>
        <v>9</v>
      </c>
      <c r="D147" s="149"/>
      <c r="E147" s="150">
        <f>SUM(E141:E146)</f>
        <v>40410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5960</v>
      </c>
      <c r="D148" s="151"/>
      <c r="E148" s="152">
        <f>+E139+E147</f>
        <v>196308860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239" t="s">
        <v>222</v>
      </c>
      <c r="B151" s="240"/>
      <c r="C151" s="240"/>
      <c r="D151" s="240"/>
      <c r="E151" s="241"/>
      <c r="F151" s="5"/>
    </row>
    <row r="152" spans="1:6" ht="36" customHeight="1" x14ac:dyDescent="0.2">
      <c r="A152" s="11" t="s">
        <v>8</v>
      </c>
      <c r="B152" s="11" t="s">
        <v>9</v>
      </c>
      <c r="C152" s="12" t="s">
        <v>10</v>
      </c>
      <c r="D152" s="13" t="s">
        <v>11</v>
      </c>
      <c r="E152" s="1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19">
        <f>+[9]BS17A!D43</f>
        <v>2518</v>
      </c>
      <c r="D153" s="37">
        <f>[9]BS17A!U43</f>
        <v>700</v>
      </c>
      <c r="E153" s="145">
        <f>+[9]BS17A!V43</f>
        <v>1762600</v>
      </c>
      <c r="F153" s="8"/>
    </row>
    <row r="154" spans="1:6" ht="15" customHeight="1" x14ac:dyDescent="0.2">
      <c r="A154" s="29" t="s">
        <v>225</v>
      </c>
      <c r="B154" s="43" t="s">
        <v>226</v>
      </c>
      <c r="C154" s="31">
        <f>+[9]BS17A!D44+[9]BS17A!D45</f>
        <v>0</v>
      </c>
      <c r="D154" s="40">
        <f>[9]BS17A!U44</f>
        <v>100</v>
      </c>
      <c r="E154" s="153">
        <f>+[9]BS17A!V44+[9]BS17A!V45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2518</v>
      </c>
      <c r="D155" s="151"/>
      <c r="E155" s="152">
        <f>SUM(E153:E154)</f>
        <v>1762600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239" t="s">
        <v>228</v>
      </c>
      <c r="B158" s="240"/>
      <c r="C158" s="240"/>
      <c r="D158" s="240"/>
      <c r="E158" s="241"/>
      <c r="F158" s="5"/>
    </row>
    <row r="159" spans="1:6" ht="47.25" customHeight="1" x14ac:dyDescent="0.2">
      <c r="A159" s="11" t="s">
        <v>8</v>
      </c>
      <c r="B159" s="11" t="s">
        <v>9</v>
      </c>
      <c r="C159" s="12" t="s">
        <v>10</v>
      </c>
      <c r="D159" s="13" t="s">
        <v>11</v>
      </c>
      <c r="E159" s="1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+[9]BS17A!$D1470</f>
        <v>0</v>
      </c>
      <c r="D160" s="37">
        <f>+[9]BS17A!$U1470</f>
        <v>38160</v>
      </c>
      <c r="E160" s="145">
        <f>+[9]BS17A!$V1470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+[9]BS17A!$D1471</f>
        <v>0</v>
      </c>
      <c r="D161" s="25">
        <f>+[9]BS17A!$U1471</f>
        <v>24000</v>
      </c>
      <c r="E161" s="146">
        <f>+[9]BS17A!$V1471</f>
        <v>0</v>
      </c>
      <c r="F161" s="8"/>
    </row>
    <row r="162" spans="1:6" ht="15" customHeight="1" x14ac:dyDescent="0.2">
      <c r="A162" s="22" t="s">
        <v>233</v>
      </c>
      <c r="B162" s="28" t="s">
        <v>234</v>
      </c>
      <c r="C162" s="155">
        <f>+[9]BS17A!$D1472</f>
        <v>0</v>
      </c>
      <c r="D162" s="25">
        <f>+[9]BS17A!$U1472</f>
        <v>24000</v>
      </c>
      <c r="E162" s="146">
        <f>+[9]BS17A!$V1472</f>
        <v>0</v>
      </c>
      <c r="F162" s="8"/>
    </row>
    <row r="163" spans="1:6" ht="15" customHeight="1" x14ac:dyDescent="0.2">
      <c r="A163" s="22" t="s">
        <v>235</v>
      </c>
      <c r="B163" s="156" t="s">
        <v>236</v>
      </c>
      <c r="C163" s="155">
        <f>+[9]BS17A!$D1473</f>
        <v>0</v>
      </c>
      <c r="D163" s="25">
        <f>+[9]BS17A!$U1473</f>
        <v>726900</v>
      </c>
      <c r="E163" s="146">
        <f>+[9]BS17A!$V1473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+[9]BS17A!$D1474</f>
        <v>0</v>
      </c>
      <c r="D164" s="25">
        <f>+[9]BS17A!$U1474</f>
        <v>515080</v>
      </c>
      <c r="E164" s="146">
        <f>+[9]BS17A!$V1474</f>
        <v>0</v>
      </c>
      <c r="F164" s="8"/>
    </row>
    <row r="165" spans="1:6" ht="15" customHeight="1" x14ac:dyDescent="0.2">
      <c r="A165" s="65" t="s">
        <v>239</v>
      </c>
      <c r="B165" s="138" t="s">
        <v>240</v>
      </c>
      <c r="C165" s="155">
        <f>+[9]BS17A!$D1475</f>
        <v>0</v>
      </c>
      <c r="D165" s="25">
        <f>+[9]BS17A!$U1475</f>
        <v>43850</v>
      </c>
      <c r="E165" s="146">
        <f>+[9]BS17A!$V1475</f>
        <v>0</v>
      </c>
      <c r="F165" s="8"/>
    </row>
    <row r="166" spans="1:6" ht="15" customHeight="1" x14ac:dyDescent="0.2">
      <c r="A166" s="129">
        <v>1901029</v>
      </c>
      <c r="B166" s="157" t="s">
        <v>241</v>
      </c>
      <c r="C166" s="158">
        <f>+[9]BS17A!$D1476</f>
        <v>0</v>
      </c>
      <c r="D166" s="40">
        <f>+[9]BS17A!$U1476</f>
        <v>591930</v>
      </c>
      <c r="E166" s="153">
        <f>+[9]BS17A!$V1476</f>
        <v>0</v>
      </c>
      <c r="F166" s="8"/>
    </row>
    <row r="167" spans="1:6" ht="15" customHeight="1" x14ac:dyDescent="0.2">
      <c r="A167" s="159"/>
      <c r="B167" s="160" t="s">
        <v>242</v>
      </c>
      <c r="C167" s="161">
        <f>SUM(C160:C166)</f>
        <v>0</v>
      </c>
      <c r="D167" s="162"/>
      <c r="E167" s="163">
        <f>SUM(E160:E166)</f>
        <v>0</v>
      </c>
      <c r="F167" s="8"/>
    </row>
    <row r="168" spans="1:6" ht="12.75" x14ac:dyDescent="0.2">
      <c r="A168" s="8"/>
      <c r="B168" s="8"/>
      <c r="C168" s="8"/>
      <c r="D168" s="8"/>
      <c r="E168" s="8"/>
      <c r="F168" s="8"/>
    </row>
    <row r="169" spans="1:6" ht="18" customHeight="1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256" t="s">
        <v>243</v>
      </c>
      <c r="B170" s="252"/>
      <c r="C170" s="252"/>
      <c r="D170" s="252"/>
      <c r="E170" s="253"/>
      <c r="F170" s="5"/>
    </row>
    <row r="171" spans="1:6" ht="35.25" customHeight="1" x14ac:dyDescent="0.2">
      <c r="A171" s="11" t="s">
        <v>8</v>
      </c>
      <c r="B171" s="11" t="s">
        <v>9</v>
      </c>
      <c r="C171" s="12" t="s">
        <v>10</v>
      </c>
      <c r="D171" s="13" t="s">
        <v>11</v>
      </c>
      <c r="E171" s="14" t="s">
        <v>12</v>
      </c>
      <c r="F171" s="8"/>
    </row>
    <row r="172" spans="1:6" ht="12.75" customHeight="1" x14ac:dyDescent="0.2">
      <c r="A172" s="164">
        <v>1101004</v>
      </c>
      <c r="B172" s="165" t="s">
        <v>244</v>
      </c>
      <c r="C172" s="19">
        <f>+[9]BS17A!$D801</f>
        <v>0</v>
      </c>
      <c r="D172" s="37">
        <f>+[9]BS17A!$U801</f>
        <v>13080</v>
      </c>
      <c r="E172" s="145">
        <f>+[9]BS17A!$V801</f>
        <v>0</v>
      </c>
      <c r="F172" s="8"/>
    </row>
    <row r="173" spans="1:6" ht="12.75" customHeight="1" x14ac:dyDescent="0.2">
      <c r="A173" s="104">
        <v>1101006</v>
      </c>
      <c r="B173" s="166" t="s">
        <v>245</v>
      </c>
      <c r="C173" s="24">
        <f>+[9]BS17A!$D802</f>
        <v>14</v>
      </c>
      <c r="D173" s="25">
        <f>+[9]BS17A!$U802</f>
        <v>10470</v>
      </c>
      <c r="E173" s="146">
        <f>+[9]BS17A!$V802</f>
        <v>146580</v>
      </c>
      <c r="F173" s="8"/>
    </row>
    <row r="174" spans="1:6" ht="24.75" customHeight="1" x14ac:dyDescent="0.2">
      <c r="A174" s="104" t="s">
        <v>246</v>
      </c>
      <c r="B174" s="167" t="s">
        <v>247</v>
      </c>
      <c r="C174" s="24">
        <f>+[9]BS17A!$D1186</f>
        <v>808</v>
      </c>
      <c r="D174" s="25">
        <f>+[9]BS17A!$U1186</f>
        <v>4480</v>
      </c>
      <c r="E174" s="146">
        <f>+[9]BS17A!$V1186</f>
        <v>3619840</v>
      </c>
      <c r="F174" s="8"/>
    </row>
    <row r="175" spans="1:6" ht="24.75" customHeight="1" x14ac:dyDescent="0.2">
      <c r="A175" s="104" t="s">
        <v>248</v>
      </c>
      <c r="B175" s="167" t="s">
        <v>249</v>
      </c>
      <c r="C175" s="24">
        <f>+[9]BS17A!$D1187</f>
        <v>14</v>
      </c>
      <c r="D175" s="25">
        <f>+[9]BS17A!$U1187</f>
        <v>12640</v>
      </c>
      <c r="E175" s="146">
        <f>+[9]BS17A!$V1187</f>
        <v>176960</v>
      </c>
      <c r="F175" s="8"/>
    </row>
    <row r="176" spans="1:6" ht="24.75" customHeight="1" x14ac:dyDescent="0.2">
      <c r="A176" s="104" t="s">
        <v>250</v>
      </c>
      <c r="B176" s="167" t="s">
        <v>251</v>
      </c>
      <c r="C176" s="24">
        <f>+[9]BS17A!$D1188</f>
        <v>31</v>
      </c>
      <c r="D176" s="25">
        <f>+[9]BS17A!$U1188</f>
        <v>21430</v>
      </c>
      <c r="E176" s="146">
        <f>+[9]BS17A!$V1188</f>
        <v>664330</v>
      </c>
      <c r="F176" s="8"/>
    </row>
    <row r="177" spans="1:6" ht="12.75" customHeight="1" x14ac:dyDescent="0.2">
      <c r="A177" s="104" t="s">
        <v>252</v>
      </c>
      <c r="B177" s="167" t="s">
        <v>253</v>
      </c>
      <c r="C177" s="24">
        <f>+[9]BS17A!$D1189</f>
        <v>0</v>
      </c>
      <c r="D177" s="25">
        <f>+[9]BS17A!$U1189</f>
        <v>40910</v>
      </c>
      <c r="E177" s="146">
        <f>+[9]BS17A!$V1189</f>
        <v>0</v>
      </c>
      <c r="F177" s="8"/>
    </row>
    <row r="178" spans="1:6" ht="12.75" customHeight="1" x14ac:dyDescent="0.2">
      <c r="A178" s="104" t="s">
        <v>254</v>
      </c>
      <c r="B178" s="167" t="s">
        <v>255</v>
      </c>
      <c r="C178" s="24">
        <f>+[9]BS17A!$D1190</f>
        <v>69</v>
      </c>
      <c r="D178" s="25">
        <f>+[9]BS17A!$U1190</f>
        <v>45600</v>
      </c>
      <c r="E178" s="146">
        <f>+[9]BS17A!$V1190</f>
        <v>3146400</v>
      </c>
      <c r="F178" s="8"/>
    </row>
    <row r="179" spans="1:6" ht="24.75" customHeight="1" x14ac:dyDescent="0.2">
      <c r="A179" s="104" t="s">
        <v>256</v>
      </c>
      <c r="B179" s="167" t="s">
        <v>257</v>
      </c>
      <c r="C179" s="24">
        <f>+[9]BS17A!$D1191</f>
        <v>0</v>
      </c>
      <c r="D179" s="25">
        <f>+[9]BS17A!$U1191</f>
        <v>25580</v>
      </c>
      <c r="E179" s="146">
        <f>+[9]BS17A!$V1191</f>
        <v>0</v>
      </c>
      <c r="F179" s="8"/>
    </row>
    <row r="180" spans="1:6" ht="12.75" customHeight="1" x14ac:dyDescent="0.2">
      <c r="A180" s="104" t="s">
        <v>258</v>
      </c>
      <c r="B180" s="156" t="s">
        <v>259</v>
      </c>
      <c r="C180" s="24">
        <f>+[9]BS17A!$D1192</f>
        <v>0</v>
      </c>
      <c r="D180" s="25">
        <f>+[9]BS17A!$U1192</f>
        <v>197910</v>
      </c>
      <c r="E180" s="146">
        <f>+[9]BS17A!$V1192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24">
        <f>+[9]BS17A!$D1193</f>
        <v>0</v>
      </c>
      <c r="D181" s="25">
        <f>+[9]BS17A!$U1193</f>
        <v>224990</v>
      </c>
      <c r="E181" s="146">
        <f>+[9]BS17A!$V1193</f>
        <v>0</v>
      </c>
      <c r="F181" s="8"/>
    </row>
    <row r="182" spans="1:6" ht="12.75" customHeight="1" x14ac:dyDescent="0.2">
      <c r="A182" s="104" t="s">
        <v>262</v>
      </c>
      <c r="B182" s="167" t="s">
        <v>263</v>
      </c>
      <c r="C182" s="24">
        <f>+[9]BS17A!$D1194</f>
        <v>0</v>
      </c>
      <c r="D182" s="25">
        <f>+[9]BS17A!$U1194</f>
        <v>183470</v>
      </c>
      <c r="E182" s="146">
        <f>+[9]BS17A!$V1194</f>
        <v>0</v>
      </c>
      <c r="F182" s="8"/>
    </row>
    <row r="183" spans="1:6" ht="24.75" customHeight="1" x14ac:dyDescent="0.2">
      <c r="A183" s="104" t="s">
        <v>264</v>
      </c>
      <c r="B183" s="156" t="s">
        <v>265</v>
      </c>
      <c r="C183" s="24">
        <f>+[9]BS17A!$D1195</f>
        <v>0</v>
      </c>
      <c r="D183" s="25">
        <f>+[9]BS17A!$U1195</f>
        <v>235660</v>
      </c>
      <c r="E183" s="146">
        <f>+[9]BS17A!$V1195</f>
        <v>0</v>
      </c>
      <c r="F183" s="8"/>
    </row>
    <row r="184" spans="1:6" ht="24.75" customHeight="1" x14ac:dyDescent="0.2">
      <c r="A184" s="104" t="s">
        <v>266</v>
      </c>
      <c r="B184" s="156" t="s">
        <v>267</v>
      </c>
      <c r="C184" s="24">
        <f>+[9]BS17A!$D1196</f>
        <v>0</v>
      </c>
      <c r="D184" s="25">
        <f>+[9]BS17A!$U1196</f>
        <v>241140</v>
      </c>
      <c r="E184" s="146">
        <f>+[9]BS17A!$V1196</f>
        <v>0</v>
      </c>
      <c r="F184" s="8"/>
    </row>
    <row r="185" spans="1:6" ht="24.75" customHeight="1" x14ac:dyDescent="0.2">
      <c r="A185" s="104" t="s">
        <v>268</v>
      </c>
      <c r="B185" s="156" t="s">
        <v>269</v>
      </c>
      <c r="C185" s="24">
        <f>+[9]BS17A!$D1197</f>
        <v>0</v>
      </c>
      <c r="D185" s="25">
        <f>+[9]BS17A!$U1197</f>
        <v>203920</v>
      </c>
      <c r="E185" s="146">
        <f>+[9]BS17A!$V1197</f>
        <v>0</v>
      </c>
      <c r="F185" s="8"/>
    </row>
    <row r="186" spans="1:6" ht="12.75" customHeight="1" x14ac:dyDescent="0.2">
      <c r="A186" s="104" t="s">
        <v>270</v>
      </c>
      <c r="B186" s="156" t="s">
        <v>271</v>
      </c>
      <c r="C186" s="24">
        <f>+[9]BS17A!$D1198</f>
        <v>0</v>
      </c>
      <c r="D186" s="25">
        <f>+[9]BS17A!$U1198</f>
        <v>217670</v>
      </c>
      <c r="E186" s="146">
        <f>+[9]BS17A!$V1198</f>
        <v>0</v>
      </c>
      <c r="F186" s="8"/>
    </row>
    <row r="187" spans="1:6" ht="12.75" customHeight="1" x14ac:dyDescent="0.2">
      <c r="A187" s="104" t="s">
        <v>272</v>
      </c>
      <c r="B187" s="156" t="s">
        <v>273</v>
      </c>
      <c r="C187" s="24">
        <f>+[9]BS17A!$D1199</f>
        <v>0</v>
      </c>
      <c r="D187" s="25">
        <f>+[9]BS17A!$U1199</f>
        <v>260270</v>
      </c>
      <c r="E187" s="146">
        <f>+[9]BS17A!$V1199</f>
        <v>0</v>
      </c>
      <c r="F187" s="8"/>
    </row>
    <row r="188" spans="1:6" ht="24.75" customHeight="1" x14ac:dyDescent="0.2">
      <c r="A188" s="104" t="s">
        <v>274</v>
      </c>
      <c r="B188" s="167" t="s">
        <v>275</v>
      </c>
      <c r="C188" s="24">
        <f>+[9]BS17A!$D1200</f>
        <v>0</v>
      </c>
      <c r="D188" s="25">
        <f>+[9]BS17A!$U1200</f>
        <v>230810</v>
      </c>
      <c r="E188" s="146">
        <f>+[9]BS17A!$V1200</f>
        <v>0</v>
      </c>
      <c r="F188" s="8"/>
    </row>
    <row r="189" spans="1:6" ht="24.75" customHeight="1" x14ac:dyDescent="0.2">
      <c r="A189" s="104" t="s">
        <v>276</v>
      </c>
      <c r="B189" s="156" t="s">
        <v>277</v>
      </c>
      <c r="C189" s="24">
        <f>+[9]BS17A!$D1201</f>
        <v>0</v>
      </c>
      <c r="D189" s="25">
        <f>+[9]BS17A!$U1201</f>
        <v>1689070</v>
      </c>
      <c r="E189" s="146">
        <f>+[9]BS17A!$V1201</f>
        <v>0</v>
      </c>
      <c r="F189" s="8"/>
    </row>
    <row r="190" spans="1:6" ht="12.75" customHeight="1" x14ac:dyDescent="0.2">
      <c r="A190" s="104" t="s">
        <v>278</v>
      </c>
      <c r="B190" s="156" t="s">
        <v>279</v>
      </c>
      <c r="C190" s="24">
        <f>+[9]BS17A!$D1202</f>
        <v>0</v>
      </c>
      <c r="D190" s="25">
        <f>+[9]BS17A!$U1202</f>
        <v>1054990</v>
      </c>
      <c r="E190" s="146">
        <f>+[9]BS17A!$V1202</f>
        <v>0</v>
      </c>
      <c r="F190" s="8"/>
    </row>
    <row r="191" spans="1:6" ht="12.75" customHeight="1" x14ac:dyDescent="0.2">
      <c r="A191" s="22" t="s">
        <v>280</v>
      </c>
      <c r="B191" s="156" t="s">
        <v>281</v>
      </c>
      <c r="C191" s="24">
        <f>+[9]BS17A!$D1203</f>
        <v>0</v>
      </c>
      <c r="D191" s="25">
        <f>+[9]BS17A!$U1203</f>
        <v>1021110</v>
      </c>
      <c r="E191" s="146">
        <f>+[9]BS17A!$V1203</f>
        <v>0</v>
      </c>
      <c r="F191" s="8"/>
    </row>
    <row r="192" spans="1:6" ht="24.75" customHeight="1" x14ac:dyDescent="0.2">
      <c r="A192" s="104" t="s">
        <v>282</v>
      </c>
      <c r="B192" s="156" t="s">
        <v>283</v>
      </c>
      <c r="C192" s="24">
        <f>+[9]BS17A!$D1204</f>
        <v>0</v>
      </c>
      <c r="D192" s="25">
        <f>+[9]BS17A!$U1204</f>
        <v>1069740</v>
      </c>
      <c r="E192" s="146">
        <f>+[9]BS17A!$V1204</f>
        <v>0</v>
      </c>
      <c r="F192" s="8"/>
    </row>
    <row r="193" spans="1:6" ht="12.75" customHeight="1" x14ac:dyDescent="0.2">
      <c r="A193" s="22" t="s">
        <v>284</v>
      </c>
      <c r="B193" s="156" t="s">
        <v>285</v>
      </c>
      <c r="C193" s="24">
        <f>+[9]BS17A!$D1205</f>
        <v>0</v>
      </c>
      <c r="D193" s="25">
        <f>+[9]BS17A!$U1205</f>
        <v>151380</v>
      </c>
      <c r="E193" s="146">
        <f>+[9]BS17A!$V1205</f>
        <v>0</v>
      </c>
      <c r="F193" s="8"/>
    </row>
    <row r="194" spans="1:6" ht="12.75" customHeight="1" x14ac:dyDescent="0.2">
      <c r="A194" s="22" t="s">
        <v>286</v>
      </c>
      <c r="B194" s="156" t="s">
        <v>287</v>
      </c>
      <c r="C194" s="24">
        <f>+[9]BS17A!$D1206</f>
        <v>0</v>
      </c>
      <c r="D194" s="25">
        <f>+[9]BS17A!$U1206</f>
        <v>345440</v>
      </c>
      <c r="E194" s="146">
        <f>+[9]BS17A!$V1206</f>
        <v>0</v>
      </c>
      <c r="F194" s="8"/>
    </row>
    <row r="195" spans="1:6" ht="12.75" customHeight="1" x14ac:dyDescent="0.2">
      <c r="A195" s="104" t="s">
        <v>288</v>
      </c>
      <c r="B195" s="156" t="s">
        <v>289</v>
      </c>
      <c r="C195" s="24">
        <f>+[9]BS17A!$D1207</f>
        <v>0</v>
      </c>
      <c r="D195" s="25">
        <f>+[9]BS17A!$U1207</f>
        <v>128060</v>
      </c>
      <c r="E195" s="146">
        <f>+[9]BS17A!$V1207</f>
        <v>0</v>
      </c>
      <c r="F195" s="8"/>
    </row>
    <row r="196" spans="1:6" ht="12.75" customHeight="1" x14ac:dyDescent="0.2">
      <c r="A196" s="104" t="s">
        <v>290</v>
      </c>
      <c r="B196" s="156" t="s">
        <v>291</v>
      </c>
      <c r="C196" s="24">
        <f>+[9]BS17A!$D1208</f>
        <v>0</v>
      </c>
      <c r="D196" s="25">
        <f>+[9]BS17A!$U1208</f>
        <v>1037610</v>
      </c>
      <c r="E196" s="146">
        <f>+[9]BS17A!$V1208</f>
        <v>0</v>
      </c>
      <c r="F196" s="8"/>
    </row>
    <row r="197" spans="1:6" ht="12.75" customHeight="1" x14ac:dyDescent="0.2">
      <c r="A197" s="104" t="s">
        <v>292</v>
      </c>
      <c r="B197" s="156" t="s">
        <v>293</v>
      </c>
      <c r="C197" s="24">
        <f>+[9]BS17A!$D1209</f>
        <v>0</v>
      </c>
      <c r="D197" s="25">
        <f>+[9]BS17A!$U1209</f>
        <v>1037610</v>
      </c>
      <c r="E197" s="146">
        <f>+[9]BS17A!$V1209</f>
        <v>0</v>
      </c>
      <c r="F197" s="8"/>
    </row>
    <row r="198" spans="1:6" ht="12.75" customHeight="1" x14ac:dyDescent="0.2">
      <c r="A198" s="104">
        <v>1801001</v>
      </c>
      <c r="B198" s="166" t="s">
        <v>294</v>
      </c>
      <c r="C198" s="24">
        <f>+[9]BS17A!$D1343</f>
        <v>31</v>
      </c>
      <c r="D198" s="25">
        <f>+[9]BS17A!$U1343</f>
        <v>30950</v>
      </c>
      <c r="E198" s="146">
        <f>+[9]BS17A!$V1343</f>
        <v>959450</v>
      </c>
      <c r="F198" s="8"/>
    </row>
    <row r="199" spans="1:6" ht="12.75" customHeight="1" x14ac:dyDescent="0.2">
      <c r="A199" s="104">
        <v>1801003</v>
      </c>
      <c r="B199" s="156" t="s">
        <v>295</v>
      </c>
      <c r="C199" s="24">
        <f>+[9]BS17A!$D1344</f>
        <v>0</v>
      </c>
      <c r="D199" s="25">
        <f>+[9]BS17A!$U1344</f>
        <v>37330</v>
      </c>
      <c r="E199" s="146">
        <f>+[9]BS17A!$V1344</f>
        <v>0</v>
      </c>
      <c r="F199" s="8"/>
    </row>
    <row r="200" spans="1:6" ht="12.75" customHeight="1" x14ac:dyDescent="0.2">
      <c r="A200" s="104">
        <v>1801006</v>
      </c>
      <c r="B200" s="166" t="s">
        <v>296</v>
      </c>
      <c r="C200" s="24">
        <f>+[9]BS17A!$D1345</f>
        <v>7</v>
      </c>
      <c r="D200" s="25">
        <f>+[9]BS17A!$U1345</f>
        <v>39760</v>
      </c>
      <c r="E200" s="146">
        <f>+[9]BS17A!$V1345</f>
        <v>278320</v>
      </c>
      <c r="F200" s="8"/>
    </row>
    <row r="201" spans="1:6" ht="24.75" customHeight="1" x14ac:dyDescent="0.2">
      <c r="A201" s="104" t="s">
        <v>297</v>
      </c>
      <c r="B201" s="166" t="s">
        <v>298</v>
      </c>
      <c r="C201" s="24">
        <f>[9]BS17A!D1032</f>
        <v>0</v>
      </c>
      <c r="D201" s="25">
        <f>[9]BS17A!U1032</f>
        <v>8370</v>
      </c>
      <c r="E201" s="146">
        <f>[9]BS17A!V1032</f>
        <v>0</v>
      </c>
      <c r="F201" s="8"/>
    </row>
    <row r="202" spans="1:6" ht="24.75" customHeight="1" x14ac:dyDescent="0.2">
      <c r="A202" s="168" t="s">
        <v>299</v>
      </c>
      <c r="B202" s="169" t="s">
        <v>300</v>
      </c>
      <c r="C202" s="88">
        <f>[9]BS17A!D803</f>
        <v>0</v>
      </c>
      <c r="D202" s="170">
        <f>[9]BS17A!U803</f>
        <v>355150</v>
      </c>
      <c r="E202" s="171">
        <f>[9]BS17A!V803</f>
        <v>0</v>
      </c>
      <c r="F202" s="8"/>
    </row>
    <row r="203" spans="1:6" ht="17.25" customHeight="1" x14ac:dyDescent="0.2">
      <c r="A203" s="130"/>
      <c r="B203" s="131" t="s">
        <v>301</v>
      </c>
      <c r="C203" s="44">
        <f>SUM(C172:C202)</f>
        <v>974</v>
      </c>
      <c r="D203" s="151"/>
      <c r="E203" s="152">
        <f>SUM(E172:E202)</f>
        <v>8991880</v>
      </c>
      <c r="F203" s="8"/>
    </row>
    <row r="204" spans="1:6" ht="21.75" customHeight="1" x14ac:dyDescent="0.2">
      <c r="A204" s="8"/>
      <c r="B204" s="8"/>
      <c r="C204" s="8"/>
      <c r="D204" s="8"/>
      <c r="E204" s="8"/>
      <c r="F204" s="8"/>
    </row>
    <row r="205" spans="1:6" ht="19.5" customHeight="1" x14ac:dyDescent="0.2">
      <c r="A205" s="8"/>
      <c r="B205" s="8"/>
      <c r="C205" s="8"/>
      <c r="D205" s="8"/>
      <c r="E205" s="8"/>
      <c r="F205" s="8"/>
    </row>
    <row r="206" spans="1:6" ht="18" customHeight="1" x14ac:dyDescent="0.2">
      <c r="A206" s="256" t="s">
        <v>302</v>
      </c>
      <c r="B206" s="252"/>
      <c r="C206" s="252"/>
      <c r="D206" s="252"/>
      <c r="E206" s="253"/>
      <c r="F206" s="5"/>
    </row>
    <row r="207" spans="1:6" ht="39.75" customHeight="1" x14ac:dyDescent="0.2">
      <c r="A207" s="11" t="s">
        <v>8</v>
      </c>
      <c r="B207" s="11" t="s">
        <v>9</v>
      </c>
      <c r="C207" s="12" t="s">
        <v>10</v>
      </c>
      <c r="D207" s="13" t="s">
        <v>11</v>
      </c>
      <c r="E207" s="14" t="s">
        <v>12</v>
      </c>
      <c r="F207" s="5"/>
    </row>
    <row r="208" spans="1:6" ht="12.75" customHeight="1" x14ac:dyDescent="0.2">
      <c r="A208" s="17" t="s">
        <v>303</v>
      </c>
      <c r="B208" s="42" t="s">
        <v>304</v>
      </c>
      <c r="C208" s="19">
        <f>+[9]BS17A!$D18</f>
        <v>0</v>
      </c>
      <c r="D208" s="37">
        <f>+[9]BS17A!$U18</f>
        <v>12950</v>
      </c>
      <c r="E208" s="145">
        <f>+[9]BS17A!$V18</f>
        <v>0</v>
      </c>
      <c r="F208" s="8"/>
    </row>
    <row r="209" spans="1:6" ht="12.75" customHeight="1" x14ac:dyDescent="0.2">
      <c r="A209" s="22" t="s">
        <v>305</v>
      </c>
      <c r="B209" s="23" t="s">
        <v>306</v>
      </c>
      <c r="C209" s="24">
        <f>+[9]BS17A!$D19</f>
        <v>60</v>
      </c>
      <c r="D209" s="25">
        <f>+[9]BS17A!$U19</f>
        <v>12950</v>
      </c>
      <c r="E209" s="146">
        <f>+[9]BS17A!$V19</f>
        <v>777000</v>
      </c>
      <c r="F209" s="8"/>
    </row>
    <row r="210" spans="1:6" ht="12.75" customHeight="1" x14ac:dyDescent="0.2">
      <c r="A210" s="22" t="s">
        <v>307</v>
      </c>
      <c r="B210" s="28" t="s">
        <v>308</v>
      </c>
      <c r="C210" s="24">
        <f>+[9]BS17A!$D47</f>
        <v>0</v>
      </c>
      <c r="D210" s="25">
        <f>+[9]BS17A!$U47</f>
        <v>1240</v>
      </c>
      <c r="E210" s="146">
        <f>+[9]BS17A!$V47</f>
        <v>0</v>
      </c>
      <c r="F210" s="8"/>
    </row>
    <row r="211" spans="1:6" ht="12.75" customHeight="1" x14ac:dyDescent="0.2">
      <c r="A211" s="22" t="s">
        <v>309</v>
      </c>
      <c r="B211" s="28" t="s">
        <v>310</v>
      </c>
      <c r="C211" s="24">
        <f>+[9]BS17A!$D48</f>
        <v>465</v>
      </c>
      <c r="D211" s="25">
        <f>+[9]BS17A!$U48</f>
        <v>600</v>
      </c>
      <c r="E211" s="146">
        <f>+[9]BS17A!$V48</f>
        <v>279000</v>
      </c>
      <c r="F211" s="8"/>
    </row>
    <row r="212" spans="1:6" ht="12.75" customHeight="1" x14ac:dyDescent="0.2">
      <c r="A212" s="22" t="s">
        <v>311</v>
      </c>
      <c r="B212" s="23" t="s">
        <v>312</v>
      </c>
      <c r="C212" s="24">
        <f>+[9]BS17A!$D49</f>
        <v>855</v>
      </c>
      <c r="D212" s="25">
        <f>+[9]BS17A!$U49</f>
        <v>1840</v>
      </c>
      <c r="E212" s="146">
        <f>+[9]BS17A!$V49</f>
        <v>1573200</v>
      </c>
      <c r="F212" s="8"/>
    </row>
    <row r="213" spans="1:6" ht="12.75" customHeight="1" x14ac:dyDescent="0.2">
      <c r="A213" s="22" t="s">
        <v>313</v>
      </c>
      <c r="B213" s="23" t="s">
        <v>314</v>
      </c>
      <c r="C213" s="24">
        <f>+[9]BS17A!$D50</f>
        <v>42</v>
      </c>
      <c r="D213" s="25">
        <f>+[9]BS17A!$U50</f>
        <v>13790</v>
      </c>
      <c r="E213" s="146">
        <f>+[9]BS17A!$V50</f>
        <v>579180</v>
      </c>
      <c r="F213" s="8"/>
    </row>
    <row r="214" spans="1:6" ht="12.75" customHeight="1" x14ac:dyDescent="0.2">
      <c r="A214" s="22" t="s">
        <v>315</v>
      </c>
      <c r="B214" s="28" t="s">
        <v>316</v>
      </c>
      <c r="C214" s="24">
        <f>+[9]BS17A!$D51</f>
        <v>59</v>
      </c>
      <c r="D214" s="25">
        <f>+[9]BS17A!$U51</f>
        <v>31670</v>
      </c>
      <c r="E214" s="146">
        <f>+[9]BS17A!$V51</f>
        <v>1868530</v>
      </c>
      <c r="F214" s="8"/>
    </row>
    <row r="215" spans="1:6" ht="12.75" customHeight="1" x14ac:dyDescent="0.2">
      <c r="A215" s="104" t="s">
        <v>317</v>
      </c>
      <c r="B215" s="28" t="s">
        <v>318</v>
      </c>
      <c r="C215" s="24">
        <f>+[9]BS17A!D52</f>
        <v>16</v>
      </c>
      <c r="D215" s="172"/>
      <c r="E215" s="146">
        <f>+[9]BS17A!V52</f>
        <v>126400</v>
      </c>
      <c r="F215" s="8"/>
    </row>
    <row r="216" spans="1:6" ht="12.75" customHeight="1" x14ac:dyDescent="0.2">
      <c r="A216" s="29" t="s">
        <v>319</v>
      </c>
      <c r="B216" s="43" t="s">
        <v>320</v>
      </c>
      <c r="C216" s="31">
        <f>+[9]BS17A!$D1849</f>
        <v>44</v>
      </c>
      <c r="D216" s="40">
        <f>+[9]BS17A!$U1849</f>
        <v>25670</v>
      </c>
      <c r="E216" s="153">
        <f>+[9]BS17A!$V1849</f>
        <v>1129480</v>
      </c>
      <c r="F216" s="8"/>
    </row>
    <row r="217" spans="1:6" ht="12.75" x14ac:dyDescent="0.2">
      <c r="A217" s="130"/>
      <c r="B217" s="131" t="s">
        <v>321</v>
      </c>
      <c r="C217" s="44">
        <f>SUM(C208:C216)</f>
        <v>1541</v>
      </c>
      <c r="D217" s="151"/>
      <c r="E217" s="171">
        <f>SUM(E208:E216)</f>
        <v>6332790</v>
      </c>
      <c r="F217" s="8"/>
    </row>
    <row r="218" spans="1:6" ht="17.25" customHeight="1" x14ac:dyDescent="0.2">
      <c r="A218" s="8"/>
      <c r="B218" s="8"/>
      <c r="C218" s="8"/>
      <c r="D218" s="8"/>
      <c r="E218" s="8"/>
      <c r="F218" s="8"/>
    </row>
    <row r="219" spans="1:6" ht="18" customHeight="1" x14ac:dyDescent="0.2">
      <c r="A219" s="8"/>
      <c r="B219" s="8"/>
      <c r="C219" s="8"/>
      <c r="D219" s="8"/>
      <c r="E219" s="8"/>
      <c r="F219" s="8"/>
    </row>
    <row r="220" spans="1:6" ht="27.75" customHeight="1" x14ac:dyDescent="0.2">
      <c r="A220" s="257" t="s">
        <v>322</v>
      </c>
      <c r="B220" s="258"/>
      <c r="C220" s="259"/>
      <c r="D220" s="8"/>
      <c r="E220" s="8"/>
      <c r="F220" s="5"/>
    </row>
    <row r="221" spans="1:6" ht="36.75" customHeight="1" x14ac:dyDescent="0.2">
      <c r="A221" s="11" t="s">
        <v>8</v>
      </c>
      <c r="B221" s="11" t="s">
        <v>10</v>
      </c>
      <c r="C221" s="11" t="s">
        <v>12</v>
      </c>
      <c r="D221" s="5"/>
      <c r="E221" s="8"/>
      <c r="F221" s="8"/>
    </row>
    <row r="222" spans="1:6" ht="15" customHeight="1" x14ac:dyDescent="0.2">
      <c r="A222" s="17" t="s">
        <v>323</v>
      </c>
      <c r="B222" s="173" t="s">
        <v>324</v>
      </c>
      <c r="C222" s="174"/>
      <c r="D222" s="175"/>
      <c r="E222" s="8"/>
      <c r="F222" s="8"/>
    </row>
    <row r="223" spans="1:6" ht="15" customHeight="1" x14ac:dyDescent="0.2">
      <c r="A223" s="176" t="s">
        <v>325</v>
      </c>
      <c r="B223" s="177" t="s">
        <v>326</v>
      </c>
      <c r="C223" s="178"/>
      <c r="D223" s="175"/>
      <c r="E223" s="8"/>
      <c r="F223" s="8"/>
    </row>
    <row r="224" spans="1:6" ht="18" customHeight="1" x14ac:dyDescent="0.2">
      <c r="A224" s="179"/>
      <c r="B224" s="180" t="s">
        <v>327</v>
      </c>
      <c r="C224" s="181">
        <f>SUM(C222:C223)</f>
        <v>0</v>
      </c>
      <c r="D224" s="175"/>
      <c r="E224" s="8"/>
      <c r="F224" s="8"/>
    </row>
    <row r="225" spans="1:7" ht="18" customHeight="1" x14ac:dyDescent="0.2">
      <c r="A225" s="8"/>
      <c r="B225" s="8"/>
      <c r="C225" s="8"/>
      <c r="D225" s="175"/>
      <c r="E225" s="175"/>
      <c r="F225" s="175"/>
    </row>
    <row r="226" spans="1:7" ht="18" customHeight="1" x14ac:dyDescent="0.2">
      <c r="A226" s="8"/>
      <c r="B226" s="8"/>
      <c r="C226" s="8"/>
      <c r="D226" s="8"/>
      <c r="E226" s="8"/>
      <c r="F226" s="175"/>
      <c r="G226" s="182"/>
    </row>
    <row r="227" spans="1:7" ht="18" customHeight="1" x14ac:dyDescent="0.2">
      <c r="A227" s="256" t="s">
        <v>328</v>
      </c>
      <c r="B227" s="252"/>
      <c r="C227" s="252"/>
      <c r="D227" s="252"/>
      <c r="E227" s="253"/>
      <c r="F227" s="175"/>
      <c r="G227" s="182"/>
    </row>
    <row r="228" spans="1:7" ht="64.5" customHeight="1" x14ac:dyDescent="0.2">
      <c r="A228" s="11" t="s">
        <v>8</v>
      </c>
      <c r="B228" s="11" t="s">
        <v>9</v>
      </c>
      <c r="C228" s="12" t="s">
        <v>10</v>
      </c>
      <c r="D228" s="13" t="s">
        <v>11</v>
      </c>
      <c r="E228" s="14" t="s">
        <v>12</v>
      </c>
      <c r="F228" s="175"/>
      <c r="G228" s="182"/>
    </row>
    <row r="229" spans="1:7" ht="15" customHeight="1" x14ac:dyDescent="0.2">
      <c r="A229" s="17" t="s">
        <v>329</v>
      </c>
      <c r="B229" s="42" t="s">
        <v>330</v>
      </c>
      <c r="C229" s="154">
        <f>+[9]BS17A!$D1920</f>
        <v>268</v>
      </c>
      <c r="D229" s="37">
        <f>+[9]BS17A!$U1920</f>
        <v>17720</v>
      </c>
      <c r="E229" s="145">
        <f>+[9]BS17A!$V1920</f>
        <v>4748960</v>
      </c>
      <c r="F229" s="8"/>
    </row>
    <row r="230" spans="1:7" ht="15" customHeight="1" x14ac:dyDescent="0.2">
      <c r="A230" s="29" t="s">
        <v>331</v>
      </c>
      <c r="B230" s="43" t="s">
        <v>332</v>
      </c>
      <c r="C230" s="158">
        <f>+[9]BS17A!$D1921</f>
        <v>0</v>
      </c>
      <c r="D230" s="40">
        <f>+[9]BS17A!$U1921</f>
        <v>222170</v>
      </c>
      <c r="E230" s="153">
        <f>+[9]BS17A!$V1921</f>
        <v>0</v>
      </c>
      <c r="F230" s="8"/>
    </row>
    <row r="231" spans="1:7" ht="18" customHeight="1" x14ac:dyDescent="0.2">
      <c r="A231" s="130"/>
      <c r="B231" s="131" t="s">
        <v>333</v>
      </c>
      <c r="C231" s="44">
        <f>SUM(C229:C230)</f>
        <v>268</v>
      </c>
      <c r="D231" s="151"/>
      <c r="E231" s="152">
        <f>SUM(E229:E230)</f>
        <v>4748960</v>
      </c>
      <c r="F231" s="8"/>
    </row>
    <row r="232" spans="1:7" ht="18" customHeight="1" x14ac:dyDescent="0.2">
      <c r="A232" s="183"/>
      <c r="B232" s="184"/>
      <c r="C232" s="185"/>
      <c r="D232" s="183"/>
      <c r="E232" s="183"/>
      <c r="F232" s="8"/>
    </row>
    <row r="233" spans="1:7" ht="18" customHeight="1" x14ac:dyDescent="0.2">
      <c r="A233" s="183"/>
      <c r="B233" s="184"/>
      <c r="C233" s="185"/>
      <c r="D233" s="183"/>
      <c r="E233" s="183"/>
      <c r="F233" s="8"/>
    </row>
    <row r="234" spans="1:7" ht="18" customHeight="1" x14ac:dyDescent="0.2">
      <c r="A234" s="251" t="s">
        <v>334</v>
      </c>
      <c r="B234" s="252"/>
      <c r="C234" s="252"/>
      <c r="D234" s="252"/>
      <c r="E234" s="253"/>
      <c r="F234" s="8"/>
    </row>
    <row r="235" spans="1:7" ht="38.25" x14ac:dyDescent="0.2">
      <c r="A235" s="11" t="s">
        <v>8</v>
      </c>
      <c r="B235" s="11" t="s">
        <v>9</v>
      </c>
      <c r="C235" s="12" t="s">
        <v>10</v>
      </c>
      <c r="D235" s="13" t="s">
        <v>11</v>
      </c>
      <c r="E235" s="14" t="s">
        <v>12</v>
      </c>
      <c r="F235" s="8"/>
    </row>
    <row r="236" spans="1:7" ht="18" customHeight="1" x14ac:dyDescent="0.2">
      <c r="A236" s="142" t="s">
        <v>335</v>
      </c>
      <c r="B236" s="186" t="s">
        <v>336</v>
      </c>
      <c r="C236" s="187">
        <f>[9]BS17A!D764</f>
        <v>408</v>
      </c>
      <c r="D236" s="188"/>
      <c r="E236" s="189">
        <f>[9]BS17A!V764</f>
        <v>2598190</v>
      </c>
      <c r="F236" s="8"/>
    </row>
    <row r="237" spans="1:7" ht="18" customHeight="1" x14ac:dyDescent="0.2">
      <c r="A237" s="183"/>
      <c r="B237" s="184"/>
      <c r="C237" s="185"/>
      <c r="D237" s="183"/>
      <c r="E237" s="183"/>
      <c r="F237" s="8"/>
    </row>
    <row r="238" spans="1:7" ht="18" customHeight="1" x14ac:dyDescent="0.2">
      <c r="A238" s="251" t="s">
        <v>337</v>
      </c>
      <c r="B238" s="254"/>
      <c r="C238" s="254"/>
      <c r="D238" s="254"/>
      <c r="E238" s="255"/>
      <c r="F238" s="8"/>
    </row>
    <row r="239" spans="1:7" ht="41.25" customHeight="1" x14ac:dyDescent="0.2">
      <c r="A239" s="11" t="s">
        <v>8</v>
      </c>
      <c r="B239" s="12" t="s">
        <v>338</v>
      </c>
      <c r="C239" s="100" t="s">
        <v>339</v>
      </c>
      <c r="D239" s="13" t="s">
        <v>11</v>
      </c>
      <c r="E239" s="14" t="s">
        <v>12</v>
      </c>
      <c r="F239" s="8"/>
    </row>
    <row r="240" spans="1:7" ht="15" customHeight="1" x14ac:dyDescent="0.2">
      <c r="A240" s="190" t="s">
        <v>340</v>
      </c>
      <c r="B240" s="191" t="s">
        <v>341</v>
      </c>
      <c r="C240" s="19">
        <f>+[9]BS17A!$D1923</f>
        <v>0</v>
      </c>
      <c r="D240" s="37">
        <f>+[9]BS17A!$U1923</f>
        <v>226920</v>
      </c>
      <c r="E240" s="145">
        <f>+[9]BS17A!$V1923</f>
        <v>0</v>
      </c>
      <c r="F240" s="8"/>
    </row>
    <row r="241" spans="1:6" ht="15" customHeight="1" x14ac:dyDescent="0.2">
      <c r="A241" s="192" t="s">
        <v>342</v>
      </c>
      <c r="B241" s="193" t="s">
        <v>343</v>
      </c>
      <c r="C241" s="24">
        <f>+[9]BS17A!$D1924</f>
        <v>0</v>
      </c>
      <c r="D241" s="25">
        <f>+[9]BS17A!$U1924</f>
        <v>32250</v>
      </c>
      <c r="E241" s="146">
        <f>+[9]BS17A!$V1924</f>
        <v>0</v>
      </c>
      <c r="F241" s="8"/>
    </row>
    <row r="242" spans="1:6" ht="15" customHeight="1" x14ac:dyDescent="0.2">
      <c r="A242" s="192" t="s">
        <v>344</v>
      </c>
      <c r="B242" s="193" t="s">
        <v>345</v>
      </c>
      <c r="C242" s="24">
        <f>+[9]BS17A!$D1925</f>
        <v>0</v>
      </c>
      <c r="D242" s="25">
        <f>+[9]BS17A!$U1925</f>
        <v>121620</v>
      </c>
      <c r="E242" s="146">
        <f>+[9]BS17A!$V1925</f>
        <v>0</v>
      </c>
      <c r="F242" s="8"/>
    </row>
    <row r="243" spans="1:6" ht="15" customHeight="1" x14ac:dyDescent="0.2">
      <c r="A243" s="192" t="s">
        <v>346</v>
      </c>
      <c r="B243" s="193" t="s">
        <v>347</v>
      </c>
      <c r="C243" s="24">
        <f>+[9]BS17A!$D1926</f>
        <v>0</v>
      </c>
      <c r="D243" s="25">
        <f>+[9]BS17A!$U1926</f>
        <v>121620</v>
      </c>
      <c r="E243" s="146">
        <f>+[9]BS17A!$V1926</f>
        <v>0</v>
      </c>
      <c r="F243" s="8"/>
    </row>
    <row r="244" spans="1:6" ht="15" customHeight="1" x14ac:dyDescent="0.2">
      <c r="A244" s="192" t="s">
        <v>348</v>
      </c>
      <c r="B244" s="193" t="s">
        <v>349</v>
      </c>
      <c r="C244" s="24">
        <f>+[9]BS17A!$D1927</f>
        <v>0</v>
      </c>
      <c r="D244" s="25">
        <f>+[9]BS17A!$U1927</f>
        <v>221430</v>
      </c>
      <c r="E244" s="146">
        <f>+[9]BS17A!$V1927</f>
        <v>0</v>
      </c>
      <c r="F244" s="8"/>
    </row>
    <row r="245" spans="1:6" ht="15" customHeight="1" x14ac:dyDescent="0.2">
      <c r="A245" s="192" t="s">
        <v>350</v>
      </c>
      <c r="B245" s="193" t="s">
        <v>351</v>
      </c>
      <c r="C245" s="24">
        <f>+[9]BS17A!$D1928</f>
        <v>0</v>
      </c>
      <c r="D245" s="25">
        <f>+[9]BS17A!$U1928</f>
        <v>339820</v>
      </c>
      <c r="E245" s="146">
        <f>+[9]BS17A!$V1928</f>
        <v>0</v>
      </c>
      <c r="F245" s="8"/>
    </row>
    <row r="246" spans="1:6" ht="15" customHeight="1" x14ac:dyDescent="0.2">
      <c r="A246" s="192" t="s">
        <v>352</v>
      </c>
      <c r="B246" s="193" t="s">
        <v>353</v>
      </c>
      <c r="C246" s="24">
        <f>+[9]BS17A!$D1929</f>
        <v>0</v>
      </c>
      <c r="D246" s="25">
        <f>+[9]BS17A!$U1929</f>
        <v>579700</v>
      </c>
      <c r="E246" s="146">
        <f>+[9]BS17A!$V1929</f>
        <v>0</v>
      </c>
      <c r="F246" s="8"/>
    </row>
    <row r="247" spans="1:6" ht="15" customHeight="1" x14ac:dyDescent="0.2">
      <c r="A247" s="194" t="s">
        <v>354</v>
      </c>
      <c r="B247" s="193" t="s">
        <v>355</v>
      </c>
      <c r="C247" s="24">
        <f>+[9]BS17A!$D1930</f>
        <v>0</v>
      </c>
      <c r="D247" s="25">
        <f>+[9]BS17A!$U1930</f>
        <v>120740</v>
      </c>
      <c r="E247" s="146">
        <f>+[9]BS17A!$V1930</f>
        <v>0</v>
      </c>
      <c r="F247" s="8"/>
    </row>
    <row r="248" spans="1:6" ht="15" customHeight="1" x14ac:dyDescent="0.2">
      <c r="A248" s="194" t="s">
        <v>356</v>
      </c>
      <c r="B248" s="193" t="s">
        <v>357</v>
      </c>
      <c r="C248" s="24">
        <f>+[9]BS17A!$D1931</f>
        <v>0</v>
      </c>
      <c r="D248" s="25">
        <f>+[9]BS17A!$U1931</f>
        <v>325420</v>
      </c>
      <c r="E248" s="146">
        <f>+[9]BS17A!$V1931</f>
        <v>0</v>
      </c>
      <c r="F248" s="8"/>
    </row>
    <row r="249" spans="1:6" ht="15" customHeight="1" x14ac:dyDescent="0.2">
      <c r="A249" s="194" t="s">
        <v>358</v>
      </c>
      <c r="B249" s="193" t="s">
        <v>359</v>
      </c>
      <c r="C249" s="66">
        <f>+[9]BS17A!$D1932</f>
        <v>0</v>
      </c>
      <c r="D249" s="32">
        <f>+[9]BS17A!$U1932</f>
        <v>137020</v>
      </c>
      <c r="E249" s="195">
        <f>+[9]BS17A!$V1932</f>
        <v>0</v>
      </c>
      <c r="F249" s="8"/>
    </row>
    <row r="250" spans="1:6" ht="15" customHeight="1" x14ac:dyDescent="0.2">
      <c r="A250" s="194" t="s">
        <v>360</v>
      </c>
      <c r="B250" s="193" t="s">
        <v>361</v>
      </c>
      <c r="C250" s="66">
        <f>+[9]BS17A!$D1933</f>
        <v>0</v>
      </c>
      <c r="D250" s="32">
        <f>+[9]BS17A!$U1933</f>
        <v>119070</v>
      </c>
      <c r="E250" s="195">
        <f>+[9]BS17A!$V1933</f>
        <v>0</v>
      </c>
      <c r="F250" s="8"/>
    </row>
    <row r="251" spans="1:6" ht="15" customHeight="1" x14ac:dyDescent="0.2">
      <c r="A251" s="194" t="s">
        <v>362</v>
      </c>
      <c r="B251" s="193" t="s">
        <v>363</v>
      </c>
      <c r="C251" s="66">
        <f>+[9]BS17A!$D1934</f>
        <v>0</v>
      </c>
      <c r="D251" s="32">
        <f>+[9]BS17A!$U1934</f>
        <v>181020</v>
      </c>
      <c r="E251" s="195">
        <f>+[9]BS17A!$V1934</f>
        <v>0</v>
      </c>
      <c r="F251" s="8"/>
    </row>
    <row r="252" spans="1:6" ht="15" customHeight="1" x14ac:dyDescent="0.2">
      <c r="A252" s="194" t="s">
        <v>364</v>
      </c>
      <c r="B252" s="193" t="s">
        <v>365</v>
      </c>
      <c r="C252" s="66">
        <f>+[9]BS17A!$D1935</f>
        <v>0</v>
      </c>
      <c r="D252" s="32">
        <f>+[9]BS17A!$U1935</f>
        <v>47640</v>
      </c>
      <c r="E252" s="195">
        <f>+[9]BS17A!$V1935</f>
        <v>0</v>
      </c>
      <c r="F252" s="8"/>
    </row>
    <row r="253" spans="1:6" ht="15" customHeight="1" x14ac:dyDescent="0.2">
      <c r="A253" s="196" t="s">
        <v>366</v>
      </c>
      <c r="B253" s="197" t="s">
        <v>367</v>
      </c>
      <c r="C253" s="31">
        <f>+[9]BS17A!$D1936</f>
        <v>0</v>
      </c>
      <c r="D253" s="40">
        <f>+[9]BS17A!$U1936</f>
        <v>35600</v>
      </c>
      <c r="E253" s="153">
        <f>+[9]BS17A!$V1936</f>
        <v>0</v>
      </c>
      <c r="F253" s="8"/>
    </row>
    <row r="254" spans="1:6" ht="15" customHeight="1" x14ac:dyDescent="0.2">
      <c r="A254" s="242" t="s">
        <v>368</v>
      </c>
      <c r="B254" s="243"/>
      <c r="C254" s="243"/>
      <c r="D254" s="243"/>
      <c r="E254" s="244"/>
      <c r="F254" s="8"/>
    </row>
    <row r="255" spans="1:6" ht="15" customHeight="1" x14ac:dyDescent="0.2">
      <c r="A255" s="17" t="s">
        <v>369</v>
      </c>
      <c r="B255" s="198" t="s">
        <v>341</v>
      </c>
      <c r="C255" s="19">
        <f>+[9]BS17A!$D1937</f>
        <v>0</v>
      </c>
      <c r="D255" s="37">
        <f>+[9]BS17A!$U1937</f>
        <v>195210</v>
      </c>
      <c r="E255" s="145">
        <f>+[9]BS17A!$V1937</f>
        <v>0</v>
      </c>
      <c r="F255" s="8"/>
    </row>
    <row r="256" spans="1:6" ht="15" customHeight="1" x14ac:dyDescent="0.2">
      <c r="A256" s="22" t="s">
        <v>370</v>
      </c>
      <c r="B256" s="34" t="s">
        <v>371</v>
      </c>
      <c r="C256" s="24">
        <f>+[9]BS17A!$D1938</f>
        <v>0</v>
      </c>
      <c r="D256" s="25">
        <f>+[9]BS17A!$U1938</f>
        <v>1161300</v>
      </c>
      <c r="E256" s="146">
        <f>+[9]BS17A!$V1938</f>
        <v>0</v>
      </c>
      <c r="F256" s="8"/>
    </row>
    <row r="257" spans="1:6" ht="15" customHeight="1" x14ac:dyDescent="0.2">
      <c r="A257" s="22" t="s">
        <v>372</v>
      </c>
      <c r="B257" s="34" t="s">
        <v>373</v>
      </c>
      <c r="C257" s="24">
        <f>+[9]BS17A!$D1939</f>
        <v>0</v>
      </c>
      <c r="D257" s="25">
        <f>+[9]BS17A!$U1939</f>
        <v>175210</v>
      </c>
      <c r="E257" s="146">
        <f>+[9]BS17A!$V1939</f>
        <v>0</v>
      </c>
      <c r="F257" s="8"/>
    </row>
    <row r="258" spans="1:6" ht="15" customHeight="1" x14ac:dyDescent="0.2">
      <c r="A258" s="22" t="s">
        <v>374</v>
      </c>
      <c r="B258" s="34" t="s">
        <v>375</v>
      </c>
      <c r="C258" s="24">
        <f>+[9]BS17A!$D1940</f>
        <v>0</v>
      </c>
      <c r="D258" s="25">
        <f>+[9]BS17A!$U1940</f>
        <v>154940</v>
      </c>
      <c r="E258" s="146">
        <f>+[9]BS17A!$V1940</f>
        <v>0</v>
      </c>
      <c r="F258" s="8"/>
    </row>
    <row r="259" spans="1:6" ht="15" customHeight="1" x14ac:dyDescent="0.2">
      <c r="A259" s="22" t="s">
        <v>376</v>
      </c>
      <c r="B259" s="34" t="s">
        <v>377</v>
      </c>
      <c r="C259" s="24">
        <f>+[9]BS17A!$D1941</f>
        <v>0</v>
      </c>
      <c r="D259" s="25">
        <f>+[9]BS17A!$U1941</f>
        <v>314530</v>
      </c>
      <c r="E259" s="146">
        <f>+[9]BS17A!$V1941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24">
        <f>+[9]BS17A!$D1942</f>
        <v>0</v>
      </c>
      <c r="D260" s="25">
        <f>+[9]BS17A!$U1942</f>
        <v>1045930</v>
      </c>
      <c r="E260" s="146">
        <f>+[9]BS17A!$V1942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24">
        <f>+[9]BS17A!$D1943</f>
        <v>0</v>
      </c>
      <c r="D261" s="25">
        <f>+[9]BS17A!$U1943</f>
        <v>1074870</v>
      </c>
      <c r="E261" s="146">
        <f>+[9]BS17A!$V1943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24">
        <f>+[9]BS17A!$D1944</f>
        <v>0</v>
      </c>
      <c r="D262" s="25">
        <f>+[9]BS17A!$U1944</f>
        <v>851060</v>
      </c>
      <c r="E262" s="146">
        <f>+[9]BS17A!$V1944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24">
        <f>+[9]BS17A!$D1945</f>
        <v>0</v>
      </c>
      <c r="D263" s="25">
        <f>+[9]BS17A!$U1945</f>
        <v>896940</v>
      </c>
      <c r="E263" s="146">
        <f>+[9]BS17A!$V1945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24">
        <f>+[9]BS17A!$D1946</f>
        <v>0</v>
      </c>
      <c r="D264" s="25">
        <f>+[9]BS17A!$U1946</f>
        <v>353830</v>
      </c>
      <c r="E264" s="146">
        <f>+[9]BS17A!$V1946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24">
        <f>+[9]BS17A!$D1947</f>
        <v>0</v>
      </c>
      <c r="D265" s="25">
        <f>+[9]BS17A!$U1947</f>
        <v>84740</v>
      </c>
      <c r="E265" s="146">
        <f>+[9]BS17A!$V1947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24">
        <f>+[9]BS17A!$D1948</f>
        <v>0</v>
      </c>
      <c r="D266" s="25">
        <f>+[9]BS17A!$U1948</f>
        <v>252810</v>
      </c>
      <c r="E266" s="146">
        <f>+[9]BS17A!$V1948</f>
        <v>0</v>
      </c>
      <c r="F266" s="8"/>
    </row>
    <row r="267" spans="1:6" ht="15" customHeight="1" x14ac:dyDescent="0.2">
      <c r="A267" s="22" t="s">
        <v>392</v>
      </c>
      <c r="B267" s="23" t="s">
        <v>393</v>
      </c>
      <c r="C267" s="24">
        <f>+[9]BS17A!$D1949</f>
        <v>0</v>
      </c>
      <c r="D267" s="25">
        <f>+[9]BS17A!$U1949</f>
        <v>71480</v>
      </c>
      <c r="E267" s="146">
        <f>+[9]BS17A!$V1949</f>
        <v>0</v>
      </c>
      <c r="F267" s="8"/>
    </row>
    <row r="268" spans="1:6" ht="15" customHeight="1" x14ac:dyDescent="0.2">
      <c r="A268" s="22" t="s">
        <v>394</v>
      </c>
      <c r="B268" s="23" t="s">
        <v>395</v>
      </c>
      <c r="C268" s="24">
        <f>+[9]BS17A!$D1950</f>
        <v>0</v>
      </c>
      <c r="D268" s="25">
        <f>+[9]BS17A!$U1950</f>
        <v>1228260</v>
      </c>
      <c r="E268" s="146">
        <f>+[9]BS17A!$V1950</f>
        <v>0</v>
      </c>
      <c r="F268" s="8"/>
    </row>
    <row r="269" spans="1:6" ht="15" customHeight="1" x14ac:dyDescent="0.2">
      <c r="A269" s="22" t="s">
        <v>396</v>
      </c>
      <c r="B269" s="23" t="s">
        <v>397</v>
      </c>
      <c r="C269" s="24">
        <f>+[9]BS17A!$D1951</f>
        <v>0</v>
      </c>
      <c r="D269" s="25">
        <f>+[9]BS17A!$U1951</f>
        <v>287200</v>
      </c>
      <c r="E269" s="146">
        <f>+[9]BS17A!$V1951</f>
        <v>0</v>
      </c>
      <c r="F269" s="8"/>
    </row>
    <row r="270" spans="1:6" ht="15" customHeight="1" x14ac:dyDescent="0.2">
      <c r="A270" s="22" t="s">
        <v>398</v>
      </c>
      <c r="B270" s="23" t="s">
        <v>399</v>
      </c>
      <c r="C270" s="24">
        <f>+[9]BS17A!$D1952</f>
        <v>0</v>
      </c>
      <c r="D270" s="25">
        <f>+[9]BS17A!$U1952</f>
        <v>962120</v>
      </c>
      <c r="E270" s="146">
        <f>+[9]BS17A!$V1952</f>
        <v>0</v>
      </c>
      <c r="F270" s="8"/>
    </row>
    <row r="271" spans="1:6" ht="15" customHeight="1" x14ac:dyDescent="0.2">
      <c r="A271" s="22" t="s">
        <v>400</v>
      </c>
      <c r="B271" s="30" t="s">
        <v>401</v>
      </c>
      <c r="C271" s="24">
        <f>+[9]BS17A!$D1953</f>
        <v>0</v>
      </c>
      <c r="D271" s="25">
        <f>+[9]BS17A!$U1953</f>
        <v>589010</v>
      </c>
      <c r="E271" s="146">
        <f>+[9]BS17A!$V1953</f>
        <v>0</v>
      </c>
      <c r="F271" s="8"/>
    </row>
    <row r="272" spans="1:6" ht="15" customHeight="1" x14ac:dyDescent="0.2">
      <c r="A272" s="29" t="s">
        <v>402</v>
      </c>
      <c r="B272" s="30" t="s">
        <v>403</v>
      </c>
      <c r="C272" s="31">
        <f>+[9]BS17A!$D1954</f>
        <v>0</v>
      </c>
      <c r="D272" s="32">
        <f>+[9]BS17A!$U1954</f>
        <v>480670</v>
      </c>
      <c r="E272" s="195">
        <f>+[9]BS17A!$V1954</f>
        <v>0</v>
      </c>
      <c r="F272" s="8"/>
    </row>
    <row r="273" spans="1:10" ht="15" customHeight="1" x14ac:dyDescent="0.2">
      <c r="A273" s="242" t="s">
        <v>404</v>
      </c>
      <c r="B273" s="243"/>
      <c r="C273" s="243"/>
      <c r="D273" s="243"/>
      <c r="E273" s="244"/>
      <c r="F273" s="8"/>
    </row>
    <row r="274" spans="1:10" ht="15" customHeight="1" x14ac:dyDescent="0.2">
      <c r="A274" s="17" t="s">
        <v>405</v>
      </c>
      <c r="B274" s="18" t="s">
        <v>406</v>
      </c>
      <c r="C274" s="70">
        <f>+[9]BS17A!$D1955</f>
        <v>0</v>
      </c>
      <c r="D274" s="20">
        <f>[9]BS17A!U1955</f>
        <v>259110</v>
      </c>
      <c r="E274" s="199">
        <f>+[9]BS17A!$V1955</f>
        <v>0</v>
      </c>
      <c r="F274" s="8"/>
    </row>
    <row r="275" spans="1:10" ht="15" customHeight="1" x14ac:dyDescent="0.2">
      <c r="A275" s="22" t="s">
        <v>407</v>
      </c>
      <c r="B275" s="23" t="s">
        <v>408</v>
      </c>
      <c r="C275" s="24">
        <f>+[9]BS17A!$D1956</f>
        <v>0</v>
      </c>
      <c r="D275" s="25">
        <f>[9]BS17A!U1956</f>
        <v>151070</v>
      </c>
      <c r="E275" s="146">
        <f>+[9]BS17A!$V1956</f>
        <v>0</v>
      </c>
      <c r="F275" s="8"/>
    </row>
    <row r="276" spans="1:10" ht="15" customHeight="1" x14ac:dyDescent="0.2">
      <c r="A276" s="22" t="s">
        <v>409</v>
      </c>
      <c r="B276" s="23" t="s">
        <v>410</v>
      </c>
      <c r="C276" s="24">
        <f>+[9]BS17A!$D1957</f>
        <v>0</v>
      </c>
      <c r="D276" s="25">
        <f>[9]BS17A!U1957</f>
        <v>365020</v>
      </c>
      <c r="E276" s="146">
        <f>+[9]BS17A!$V1957</f>
        <v>0</v>
      </c>
      <c r="F276" s="8"/>
    </row>
    <row r="277" spans="1:10" ht="15" customHeight="1" x14ac:dyDescent="0.2">
      <c r="A277" s="22" t="s">
        <v>411</v>
      </c>
      <c r="B277" s="23" t="s">
        <v>412</v>
      </c>
      <c r="C277" s="24">
        <f>+[9]BS17A!$D1958</f>
        <v>0</v>
      </c>
      <c r="D277" s="25">
        <f>[9]BS17A!U1958</f>
        <v>378270</v>
      </c>
      <c r="E277" s="146">
        <f>+[9]BS17A!$V1958</f>
        <v>0</v>
      </c>
      <c r="F277" s="8"/>
    </row>
    <row r="278" spans="1:10" ht="15" customHeight="1" x14ac:dyDescent="0.2">
      <c r="A278" s="29" t="s">
        <v>413</v>
      </c>
      <c r="B278" s="39" t="s">
        <v>414</v>
      </c>
      <c r="C278" s="31">
        <f>+[9]BS17A!$D1959</f>
        <v>0</v>
      </c>
      <c r="D278" s="40">
        <f>[9]BS17A!U1959</f>
        <v>236360</v>
      </c>
      <c r="E278" s="153">
        <f>+[9]BS17A!$V1959</f>
        <v>0</v>
      </c>
      <c r="F278" s="200"/>
    </row>
    <row r="279" spans="1:10" ht="15" customHeight="1" x14ac:dyDescent="0.2">
      <c r="A279" s="201" t="s">
        <v>415</v>
      </c>
      <c r="B279" s="202" t="s">
        <v>416</v>
      </c>
      <c r="C279" s="203">
        <f>+[9]BS17A!$D1960</f>
        <v>89</v>
      </c>
      <c r="D279" s="204">
        <f>[9]BS17A!U1960</f>
        <v>32140</v>
      </c>
      <c r="E279" s="189">
        <f>+[9]BS17A!$V1960</f>
        <v>2860460</v>
      </c>
      <c r="F279" s="200"/>
    </row>
    <row r="280" spans="1:10" ht="15" customHeight="1" x14ac:dyDescent="0.2">
      <c r="A280" s="130"/>
      <c r="B280" s="205" t="s">
        <v>417</v>
      </c>
      <c r="C280" s="44">
        <f>SUM(C240:C279)</f>
        <v>89</v>
      </c>
      <c r="D280" s="151"/>
      <c r="E280" s="152">
        <f>SUM(E240:E279)</f>
        <v>2860460</v>
      </c>
      <c r="F280" s="200"/>
    </row>
    <row r="281" spans="1:10" ht="18" customHeight="1" x14ac:dyDescent="0.2">
      <c r="A281" s="183"/>
      <c r="B281" s="8"/>
      <c r="C281" s="8"/>
      <c r="D281" s="183"/>
      <c r="E281" s="183"/>
      <c r="F281" s="8"/>
    </row>
    <row r="282" spans="1:10" ht="18" customHeight="1" x14ac:dyDescent="0.2">
      <c r="A282" s="183"/>
      <c r="B282" s="185"/>
      <c r="C282" s="185"/>
      <c r="D282" s="183"/>
      <c r="E282" s="183"/>
      <c r="F282" s="206"/>
      <c r="G282" s="207"/>
      <c r="J282" s="208"/>
    </row>
    <row r="283" spans="1:10" ht="12.75" customHeight="1" x14ac:dyDescent="0.2">
      <c r="A283" s="251" t="s">
        <v>418</v>
      </c>
      <c r="B283" s="254"/>
      <c r="C283" s="254"/>
      <c r="D283" s="254"/>
      <c r="E283" s="255"/>
      <c r="F283" s="8"/>
    </row>
    <row r="284" spans="1:10" ht="44.25" customHeight="1" x14ac:dyDescent="0.2">
      <c r="A284" s="11" t="s">
        <v>8</v>
      </c>
      <c r="B284" s="11" t="s">
        <v>418</v>
      </c>
      <c r="C284" s="12" t="s">
        <v>339</v>
      </c>
      <c r="D284" s="13" t="s">
        <v>11</v>
      </c>
      <c r="E284" s="14" t="s">
        <v>12</v>
      </c>
      <c r="F284" s="200"/>
    </row>
    <row r="285" spans="1:10" ht="15" customHeight="1" x14ac:dyDescent="0.2">
      <c r="A285" s="17" t="s">
        <v>419</v>
      </c>
      <c r="B285" s="209" t="s">
        <v>420</v>
      </c>
      <c r="C285" s="19">
        <f>+[9]BS17A!$D1962</f>
        <v>6</v>
      </c>
      <c r="D285" s="37">
        <f>+[9]BS17A!$U1962</f>
        <v>6320</v>
      </c>
      <c r="E285" s="145">
        <f>+[9]BS17A!$V1962</f>
        <v>37920</v>
      </c>
      <c r="F285" s="8"/>
    </row>
    <row r="286" spans="1:10" ht="15" customHeight="1" x14ac:dyDescent="0.2">
      <c r="A286" s="22" t="s">
        <v>421</v>
      </c>
      <c r="B286" s="210" t="s">
        <v>422</v>
      </c>
      <c r="C286" s="24">
        <f>+[9]BS17A!$D1963</f>
        <v>0</v>
      </c>
      <c r="D286" s="25">
        <f>+[9]BS17A!$U1963</f>
        <v>3370</v>
      </c>
      <c r="E286" s="146">
        <f>+[9]BS17A!$V1963</f>
        <v>0</v>
      </c>
      <c r="F286" s="8"/>
    </row>
    <row r="287" spans="1:10" ht="15" customHeight="1" x14ac:dyDescent="0.2">
      <c r="A287" s="22" t="s">
        <v>423</v>
      </c>
      <c r="B287" s="210" t="s">
        <v>424</v>
      </c>
      <c r="C287" s="24">
        <f>+[9]BS17A!$D1964</f>
        <v>3</v>
      </c>
      <c r="D287" s="25">
        <f>+[9]BS17A!$U1964</f>
        <v>12690</v>
      </c>
      <c r="E287" s="146">
        <f>+[9]BS17A!$V1964</f>
        <v>38070</v>
      </c>
      <c r="F287" s="8"/>
    </row>
    <row r="288" spans="1:10" ht="15" customHeight="1" x14ac:dyDescent="0.2">
      <c r="A288" s="22" t="s">
        <v>425</v>
      </c>
      <c r="B288" s="210" t="s">
        <v>426</v>
      </c>
      <c r="C288" s="24">
        <f>+[9]BS17A!$D1965</f>
        <v>0</v>
      </c>
      <c r="D288" s="25">
        <f>+[9]BS17A!$U1965</f>
        <v>130140</v>
      </c>
      <c r="E288" s="146">
        <f>+[9]BS17A!$V1965</f>
        <v>0</v>
      </c>
      <c r="F288" s="8"/>
    </row>
    <row r="289" spans="1:7" ht="15" customHeight="1" x14ac:dyDescent="0.2">
      <c r="A289" s="29" t="s">
        <v>427</v>
      </c>
      <c r="B289" s="211" t="s">
        <v>428</v>
      </c>
      <c r="C289" s="31">
        <f>+[9]BS17A!$D1966</f>
        <v>0</v>
      </c>
      <c r="D289" s="40">
        <f>+[9]BS17A!$U1966</f>
        <v>714770</v>
      </c>
      <c r="E289" s="153">
        <f>+[9]BS17A!$V1966</f>
        <v>0</v>
      </c>
      <c r="F289" s="8"/>
    </row>
    <row r="290" spans="1:7" ht="15" customHeight="1" x14ac:dyDescent="0.2">
      <c r="A290" s="130"/>
      <c r="B290" s="131" t="s">
        <v>429</v>
      </c>
      <c r="C290" s="56">
        <f>SUM(C285:C289)</f>
        <v>9</v>
      </c>
      <c r="D290" s="57"/>
      <c r="E290" s="107">
        <f>SUM(E285:E289)</f>
        <v>75990</v>
      </c>
      <c r="F290" s="8"/>
    </row>
    <row r="291" spans="1:7" ht="18" customHeight="1" x14ac:dyDescent="0.2">
      <c r="A291" s="183"/>
      <c r="B291" s="185"/>
      <c r="C291" s="183"/>
      <c r="D291" s="183"/>
      <c r="E291" s="183"/>
      <c r="F291" s="8"/>
    </row>
    <row r="292" spans="1:7" ht="18" customHeight="1" x14ac:dyDescent="0.2">
      <c r="A292" s="183"/>
      <c r="B292" s="185"/>
      <c r="C292" s="183"/>
      <c r="D292" s="183"/>
      <c r="E292" s="183"/>
      <c r="F292" s="212"/>
      <c r="G292" s="10"/>
    </row>
    <row r="293" spans="1:7" ht="12.75" x14ac:dyDescent="0.2">
      <c r="A293" s="242" t="s">
        <v>430</v>
      </c>
      <c r="B293" s="243"/>
      <c r="C293" s="243"/>
      <c r="D293" s="243"/>
      <c r="E293" s="244"/>
      <c r="F293" s="213"/>
      <c r="G293" s="10"/>
    </row>
    <row r="294" spans="1:7" ht="36.75" customHeight="1" x14ac:dyDescent="0.2">
      <c r="A294" s="11" t="s">
        <v>8</v>
      </c>
      <c r="B294" s="214" t="s">
        <v>430</v>
      </c>
      <c r="C294" s="215" t="s">
        <v>431</v>
      </c>
      <c r="D294" s="13" t="s">
        <v>11</v>
      </c>
      <c r="E294" s="14" t="s">
        <v>12</v>
      </c>
      <c r="F294" s="213"/>
      <c r="G294" s="10"/>
    </row>
    <row r="295" spans="1:7" ht="15" customHeight="1" x14ac:dyDescent="0.2">
      <c r="A295" s="17" t="s">
        <v>432</v>
      </c>
      <c r="B295" s="36" t="s">
        <v>433</v>
      </c>
      <c r="C295" s="19">
        <f>+[9]BS17A!$D1851</f>
        <v>233</v>
      </c>
      <c r="D295" s="37">
        <f>+[9]BS17A!$U1851</f>
        <v>16920</v>
      </c>
      <c r="E295" s="145">
        <f>+[9]BS17A!$V1851</f>
        <v>3942360</v>
      </c>
      <c r="F295" s="8"/>
    </row>
    <row r="296" spans="1:7" ht="15" customHeight="1" x14ac:dyDescent="0.2">
      <c r="A296" s="22" t="s">
        <v>434</v>
      </c>
      <c r="B296" s="28" t="s">
        <v>435</v>
      </c>
      <c r="C296" s="24">
        <f>+[9]BS17A!$D1852</f>
        <v>156</v>
      </c>
      <c r="D296" s="25">
        <f>+[9]BS17A!$U1852</f>
        <v>53200</v>
      </c>
      <c r="E296" s="146">
        <f>+[9]BS17A!$V1852</f>
        <v>8299200</v>
      </c>
      <c r="F296" s="8"/>
    </row>
    <row r="297" spans="1:7" ht="15" customHeight="1" x14ac:dyDescent="0.2">
      <c r="A297" s="22" t="s">
        <v>436</v>
      </c>
      <c r="B297" s="28" t="s">
        <v>437</v>
      </c>
      <c r="C297" s="24">
        <f>+[9]BS17A!$D1853</f>
        <v>0</v>
      </c>
      <c r="D297" s="25">
        <f>+[9]BS17A!$U1853</f>
        <v>65950</v>
      </c>
      <c r="E297" s="146">
        <f>+[9]BS17A!$V1853</f>
        <v>0</v>
      </c>
      <c r="F297" s="8"/>
    </row>
    <row r="298" spans="1:7" ht="15" customHeight="1" x14ac:dyDescent="0.2">
      <c r="A298" s="22" t="s">
        <v>438</v>
      </c>
      <c r="B298" s="28" t="s">
        <v>439</v>
      </c>
      <c r="C298" s="24">
        <f>+[9]BS17A!$D1854</f>
        <v>191</v>
      </c>
      <c r="D298" s="25">
        <f>+[9]BS17A!$U1854</f>
        <v>2320</v>
      </c>
      <c r="E298" s="146">
        <f>+[9]BS17A!$V1854</f>
        <v>443120</v>
      </c>
      <c r="F298" s="8"/>
    </row>
    <row r="299" spans="1:7" ht="15" customHeight="1" x14ac:dyDescent="0.2">
      <c r="A299" s="22" t="s">
        <v>440</v>
      </c>
      <c r="B299" s="28" t="s">
        <v>441</v>
      </c>
      <c r="C299" s="24">
        <f>+[9]BS17A!$D1855</f>
        <v>0</v>
      </c>
      <c r="D299" s="25">
        <f>+[9]BS17A!$U1855</f>
        <v>70</v>
      </c>
      <c r="E299" s="146">
        <f>+[9]BS17A!$V1855</f>
        <v>0</v>
      </c>
      <c r="F299" s="8"/>
    </row>
    <row r="300" spans="1:7" ht="15" customHeight="1" x14ac:dyDescent="0.2">
      <c r="A300" s="22" t="s">
        <v>442</v>
      </c>
      <c r="B300" s="23" t="s">
        <v>443</v>
      </c>
      <c r="C300" s="24">
        <f>+[9]BS17A!$D1856</f>
        <v>0</v>
      </c>
      <c r="D300" s="25">
        <f>+[9]BS17A!$U1856</f>
        <v>140030</v>
      </c>
      <c r="E300" s="146">
        <f>+[9]BS17A!$V1856</f>
        <v>0</v>
      </c>
      <c r="F300" s="8"/>
    </row>
    <row r="301" spans="1:7" ht="15" customHeight="1" x14ac:dyDescent="0.2">
      <c r="A301" s="29" t="s">
        <v>444</v>
      </c>
      <c r="B301" s="43" t="s">
        <v>445</v>
      </c>
      <c r="C301" s="31">
        <f>+[9]BS17A!$D1857</f>
        <v>0</v>
      </c>
      <c r="D301" s="40">
        <f>+[9]BS17A!$U1857</f>
        <v>9520</v>
      </c>
      <c r="E301" s="153">
        <f>+[9]BS17A!$V1857</f>
        <v>0</v>
      </c>
      <c r="F301" s="8"/>
    </row>
    <row r="302" spans="1:7" ht="15" customHeight="1" x14ac:dyDescent="0.2">
      <c r="A302" s="96"/>
      <c r="B302" s="246" t="s">
        <v>446</v>
      </c>
      <c r="C302" s="247"/>
      <c r="D302" s="188"/>
      <c r="E302" s="217">
        <f>SUM(E295:E301)</f>
        <v>12684680</v>
      </c>
      <c r="F302" s="8"/>
    </row>
    <row r="303" spans="1:7" ht="12.75" x14ac:dyDescent="0.2">
      <c r="A303" s="8"/>
      <c r="B303" s="8"/>
      <c r="C303" s="8"/>
      <c r="D303" s="8"/>
      <c r="E303" s="8"/>
      <c r="F303" s="175"/>
      <c r="G303" s="182"/>
    </row>
    <row r="304" spans="1:7" ht="12.75" x14ac:dyDescent="0.2">
      <c r="A304" s="8"/>
      <c r="B304" s="8"/>
      <c r="C304" s="8"/>
      <c r="D304" s="8"/>
      <c r="E304" s="8"/>
      <c r="F304" s="175"/>
      <c r="G304" s="182"/>
    </row>
    <row r="305" spans="1:7" ht="12.75" x14ac:dyDescent="0.2">
      <c r="A305" s="239" t="s">
        <v>447</v>
      </c>
      <c r="B305" s="240"/>
      <c r="C305" s="240"/>
      <c r="D305" s="240"/>
      <c r="E305" s="241"/>
      <c r="F305" s="175"/>
      <c r="G305" s="182"/>
    </row>
    <row r="306" spans="1:7" ht="12.75" x14ac:dyDescent="0.2">
      <c r="A306" s="218"/>
      <c r="B306" s="248" t="s">
        <v>448</v>
      </c>
      <c r="C306" s="249"/>
      <c r="D306" s="250"/>
      <c r="E306" s="219">
        <f>+E231+E236+E280+E290+E302</f>
        <v>22968280</v>
      </c>
      <c r="F306" s="8"/>
    </row>
    <row r="307" spans="1:7" ht="12.75" x14ac:dyDescent="0.2">
      <c r="A307" s="8"/>
      <c r="B307" s="8"/>
      <c r="C307" s="8"/>
      <c r="D307" s="8"/>
      <c r="E307" s="8"/>
      <c r="F307" s="175"/>
      <c r="G307" s="182"/>
    </row>
    <row r="308" spans="1:7" ht="12.75" x14ac:dyDescent="0.2">
      <c r="A308" s="8"/>
      <c r="B308" s="8"/>
      <c r="C308" s="8"/>
      <c r="D308" s="8"/>
      <c r="E308" s="8"/>
      <c r="F308" s="175"/>
      <c r="G308" s="182"/>
    </row>
    <row r="309" spans="1:7" ht="12.75" x14ac:dyDescent="0.2">
      <c r="A309" s="239" t="s">
        <v>449</v>
      </c>
      <c r="B309" s="240"/>
      <c r="C309" s="240"/>
      <c r="D309" s="240"/>
      <c r="E309" s="241"/>
      <c r="F309" s="175"/>
      <c r="G309" s="182"/>
    </row>
    <row r="310" spans="1:7" ht="25.5" x14ac:dyDescent="0.2">
      <c r="A310" s="242" t="s">
        <v>450</v>
      </c>
      <c r="B310" s="243"/>
      <c r="C310" s="243"/>
      <c r="D310" s="244"/>
      <c r="E310" s="11" t="s">
        <v>12</v>
      </c>
      <c r="F310" s="175"/>
      <c r="G310" s="182"/>
    </row>
    <row r="311" spans="1:7" ht="15" customHeight="1" x14ac:dyDescent="0.2">
      <c r="A311" s="218"/>
      <c r="B311" s="248" t="s">
        <v>451</v>
      </c>
      <c r="C311" s="249"/>
      <c r="D311" s="250"/>
      <c r="E311" s="219">
        <f>+E50+E76+E84+F109+E116+C121+E148+E155+E167+E203+E217+C224+E306</f>
        <v>631670980</v>
      </c>
      <c r="F311" s="175"/>
      <c r="G311" s="182"/>
    </row>
    <row r="312" spans="1:7" ht="18" customHeight="1" x14ac:dyDescent="0.2">
      <c r="A312" s="8"/>
      <c r="B312" s="8"/>
      <c r="C312" s="8"/>
      <c r="D312" s="8"/>
      <c r="E312" s="8"/>
      <c r="F312" s="5"/>
    </row>
    <row r="313" spans="1:7" ht="18" customHeight="1" x14ac:dyDescent="0.2">
      <c r="A313" s="8"/>
      <c r="B313" s="8"/>
      <c r="C313" s="8"/>
      <c r="D313" s="8"/>
      <c r="E313" s="8"/>
      <c r="F313" s="5"/>
    </row>
    <row r="314" spans="1:7" ht="18" customHeight="1" x14ac:dyDescent="0.2">
      <c r="A314" s="239" t="s">
        <v>452</v>
      </c>
      <c r="B314" s="240"/>
      <c r="C314" s="241"/>
      <c r="D314" s="8"/>
      <c r="E314" s="8"/>
      <c r="F314" s="5"/>
    </row>
    <row r="315" spans="1:7" ht="18" customHeight="1" x14ac:dyDescent="0.2">
      <c r="A315" s="242" t="s">
        <v>453</v>
      </c>
      <c r="B315" s="243"/>
      <c r="C315" s="244"/>
      <c r="D315" s="8"/>
      <c r="E315" s="8"/>
      <c r="F315" s="5"/>
    </row>
    <row r="316" spans="1:7" ht="30.75" customHeight="1" x14ac:dyDescent="0.2">
      <c r="A316" s="239" t="s">
        <v>454</v>
      </c>
      <c r="B316" s="240"/>
      <c r="C316" s="11" t="s">
        <v>455</v>
      </c>
      <c r="D316" s="8"/>
      <c r="E316" s="8"/>
      <c r="F316" s="8"/>
    </row>
    <row r="317" spans="1:7" ht="15" customHeight="1" x14ac:dyDescent="0.2">
      <c r="A317" s="220" t="s">
        <v>456</v>
      </c>
      <c r="B317" s="191"/>
      <c r="C317" s="221"/>
      <c r="D317" s="8"/>
      <c r="E317" s="8"/>
      <c r="F317" s="8"/>
    </row>
    <row r="318" spans="1:7" ht="15" customHeight="1" x14ac:dyDescent="0.2">
      <c r="A318" s="24" t="s">
        <v>457</v>
      </c>
      <c r="B318" s="193"/>
      <c r="C318" s="222"/>
      <c r="D318" s="8"/>
      <c r="E318" s="8"/>
      <c r="F318" s="8"/>
    </row>
    <row r="319" spans="1:7" ht="15" customHeight="1" x14ac:dyDescent="0.2">
      <c r="A319" s="24" t="s">
        <v>458</v>
      </c>
      <c r="B319" s="193"/>
      <c r="C319" s="222"/>
      <c r="D319" s="8"/>
      <c r="E319" s="8"/>
      <c r="F319" s="8"/>
    </row>
    <row r="320" spans="1:7" ht="15" customHeight="1" x14ac:dyDescent="0.2">
      <c r="A320" s="223" t="s">
        <v>459</v>
      </c>
      <c r="B320" s="193"/>
      <c r="C320" s="222"/>
      <c r="D320" s="8"/>
      <c r="E320" s="8"/>
      <c r="F320" s="8"/>
    </row>
    <row r="321" spans="1:6" ht="15" customHeight="1" x14ac:dyDescent="0.2">
      <c r="A321" s="224" t="s">
        <v>460</v>
      </c>
      <c r="B321" s="225"/>
      <c r="C321" s="226">
        <f>SUM(C317:C320)</f>
        <v>0</v>
      </c>
      <c r="D321" s="8"/>
      <c r="E321" s="8"/>
      <c r="F321" s="8"/>
    </row>
    <row r="322" spans="1:6" ht="15" customHeight="1" x14ac:dyDescent="0.2">
      <c r="A322" s="19" t="s">
        <v>461</v>
      </c>
      <c r="B322" s="227"/>
      <c r="C322" s="221">
        <v>7611764</v>
      </c>
      <c r="D322" s="8"/>
      <c r="E322" s="8"/>
      <c r="F322" s="8"/>
    </row>
    <row r="323" spans="1:6" ht="15" customHeight="1" x14ac:dyDescent="0.2">
      <c r="A323" s="228" t="s">
        <v>462</v>
      </c>
      <c r="B323" s="229"/>
      <c r="C323" s="222"/>
      <c r="D323" s="8"/>
      <c r="E323" s="8"/>
      <c r="F323" s="8"/>
    </row>
    <row r="324" spans="1:6" ht="15" customHeight="1" x14ac:dyDescent="0.2">
      <c r="A324" s="24" t="s">
        <v>463</v>
      </c>
      <c r="B324" s="229"/>
      <c r="C324" s="222"/>
      <c r="D324" s="8"/>
      <c r="E324" s="8"/>
      <c r="F324" s="8"/>
    </row>
    <row r="325" spans="1:6" ht="15" customHeight="1" x14ac:dyDescent="0.2">
      <c r="A325" s="24" t="s">
        <v>464</v>
      </c>
      <c r="B325" s="229"/>
      <c r="C325" s="222"/>
      <c r="D325" s="8"/>
      <c r="E325" s="8"/>
      <c r="F325" s="8"/>
    </row>
    <row r="326" spans="1:6" ht="15" customHeight="1" x14ac:dyDescent="0.2">
      <c r="A326" s="228" t="s">
        <v>465</v>
      </c>
      <c r="B326" s="229"/>
      <c r="C326" s="222"/>
      <c r="D326" s="8"/>
      <c r="E326" s="8"/>
      <c r="F326" s="8"/>
    </row>
    <row r="327" spans="1:6" ht="15" customHeight="1" x14ac:dyDescent="0.2">
      <c r="A327" s="228" t="s">
        <v>466</v>
      </c>
      <c r="B327" s="229"/>
      <c r="C327" s="222"/>
      <c r="D327" s="8"/>
      <c r="E327" s="8"/>
      <c r="F327" s="8"/>
    </row>
    <row r="328" spans="1:6" ht="15" customHeight="1" x14ac:dyDescent="0.2">
      <c r="A328" s="230" t="s">
        <v>467</v>
      </c>
      <c r="B328" s="231"/>
      <c r="C328" s="232">
        <v>38678277</v>
      </c>
      <c r="D328" s="8"/>
      <c r="E328" s="8"/>
      <c r="F328" s="8"/>
    </row>
    <row r="329" spans="1:6" ht="15" customHeight="1" x14ac:dyDescent="0.2">
      <c r="A329" s="44"/>
      <c r="B329" s="233" t="s">
        <v>468</v>
      </c>
      <c r="C329" s="163">
        <f>SUM(C321:C328)</f>
        <v>46290041</v>
      </c>
      <c r="D329" s="8"/>
      <c r="E329" s="8"/>
      <c r="F329" s="8"/>
    </row>
    <row r="330" spans="1:6" ht="12.75" x14ac:dyDescent="0.2">
      <c r="A330" s="8"/>
      <c r="B330" s="8"/>
      <c r="C330" s="8"/>
      <c r="D330" s="8"/>
      <c r="E330" s="8"/>
      <c r="F330" s="5"/>
    </row>
    <row r="331" spans="1:6" ht="12.75" x14ac:dyDescent="0.2">
      <c r="A331" s="8"/>
      <c r="B331" s="8"/>
      <c r="C331" s="8"/>
      <c r="D331" s="8"/>
      <c r="E331" s="8"/>
      <c r="F331" s="5"/>
    </row>
    <row r="332" spans="1:6" ht="12.75" x14ac:dyDescent="0.2">
      <c r="A332" s="8"/>
      <c r="B332" s="8"/>
      <c r="C332" s="8"/>
      <c r="D332" s="8"/>
      <c r="E332" s="8"/>
      <c r="F332" s="5"/>
    </row>
    <row r="333" spans="1:6" ht="12.75" x14ac:dyDescent="0.2">
      <c r="A333" s="183"/>
      <c r="B333" s="183"/>
      <c r="C333" s="183"/>
      <c r="D333" s="183"/>
      <c r="E333" s="183"/>
      <c r="F333" s="212"/>
    </row>
    <row r="334" spans="1:6" ht="12.75" x14ac:dyDescent="0.2">
      <c r="A334" s="183"/>
      <c r="B334" s="183"/>
      <c r="C334" s="183"/>
      <c r="D334" s="183"/>
      <c r="E334" s="245" t="str">
        <f>[9]NOMBRE!B12</f>
        <v>SRA. MARIA INES NUÑEZ GONZALEZ</v>
      </c>
      <c r="F334" s="245"/>
    </row>
    <row r="335" spans="1:6" ht="12.75" x14ac:dyDescent="0.2">
      <c r="A335" s="183"/>
      <c r="B335" s="183"/>
      <c r="C335" s="183"/>
      <c r="D335" s="185"/>
      <c r="E335" s="238" t="str">
        <f>[9]NOMBRE!A12</f>
        <v>Jefe de Estadisticas</v>
      </c>
      <c r="F335" s="238"/>
    </row>
    <row r="336" spans="1:6" ht="12.75" x14ac:dyDescent="0.2">
      <c r="A336" s="183"/>
      <c r="B336" s="183"/>
      <c r="C336" s="183"/>
      <c r="D336" s="183"/>
      <c r="E336" s="234"/>
      <c r="F336" s="235"/>
    </row>
    <row r="337" spans="1:6" ht="12.75" x14ac:dyDescent="0.2">
      <c r="A337" s="183"/>
      <c r="B337" s="183"/>
      <c r="C337" s="183"/>
      <c r="D337" s="183"/>
      <c r="E337" s="235"/>
      <c r="F337" s="235"/>
    </row>
    <row r="338" spans="1:6" ht="12.75" x14ac:dyDescent="0.2">
      <c r="A338" s="183"/>
      <c r="B338" s="183"/>
      <c r="C338" s="183"/>
      <c r="D338" s="183"/>
      <c r="E338" s="235"/>
      <c r="F338" s="235"/>
    </row>
    <row r="339" spans="1:6" ht="12.75" x14ac:dyDescent="0.2">
      <c r="A339" s="183"/>
      <c r="B339" s="183"/>
      <c r="C339" s="183"/>
      <c r="D339" s="183"/>
      <c r="E339" s="235"/>
      <c r="F339" s="235"/>
    </row>
    <row r="340" spans="1:6" ht="12.75" x14ac:dyDescent="0.2">
      <c r="A340" s="183"/>
      <c r="B340" s="183"/>
      <c r="C340" s="183"/>
      <c r="D340" s="183"/>
      <c r="E340" s="235"/>
      <c r="F340" s="235"/>
    </row>
    <row r="341" spans="1:6" ht="12.75" x14ac:dyDescent="0.2">
      <c r="A341" s="183"/>
      <c r="B341" s="183"/>
      <c r="C341" s="183"/>
      <c r="D341" s="183"/>
      <c r="E341" s="235"/>
      <c r="F341" s="235"/>
    </row>
    <row r="342" spans="1:6" ht="12.75" x14ac:dyDescent="0.2">
      <c r="A342" s="183"/>
      <c r="B342" s="183"/>
      <c r="C342" s="183"/>
      <c r="D342" s="183"/>
      <c r="E342" s="235"/>
      <c r="F342" s="235"/>
    </row>
    <row r="343" spans="1:6" ht="12.75" x14ac:dyDescent="0.2">
      <c r="A343" s="183"/>
      <c r="B343" s="183"/>
      <c r="C343" s="183"/>
      <c r="D343" s="183"/>
      <c r="E343" s="245" t="str">
        <f>[9]NOMBRE!B11</f>
        <v xml:space="preserve">DR. RUBEN BRAVO CASTILLO </v>
      </c>
      <c r="F343" s="245"/>
    </row>
    <row r="344" spans="1:6" ht="22.5" customHeight="1" x14ac:dyDescent="0.2">
      <c r="A344" s="183"/>
      <c r="B344" s="183"/>
      <c r="C344" s="183"/>
      <c r="D344" s="212"/>
      <c r="E344" s="238" t="str">
        <f>CONCATENATE("Director ",[9]NOMBRE!B1)</f>
        <v xml:space="preserve">Director </v>
      </c>
      <c r="F344" s="238"/>
    </row>
    <row r="345" spans="1:6" ht="12.75" x14ac:dyDescent="0.2">
      <c r="A345" s="183"/>
      <c r="B345" s="183"/>
      <c r="C345" s="183"/>
      <c r="D345" s="236"/>
      <c r="E345" s="183"/>
      <c r="F345" s="212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27:E227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0:E170"/>
    <mergeCell ref="A206:E206"/>
    <mergeCell ref="A220:C220"/>
    <mergeCell ref="B311:D311"/>
    <mergeCell ref="A234:E234"/>
    <mergeCell ref="A238:E238"/>
    <mergeCell ref="A254:E254"/>
    <mergeCell ref="A273:E273"/>
    <mergeCell ref="A283:E283"/>
    <mergeCell ref="A293:E293"/>
    <mergeCell ref="B302:C302"/>
    <mergeCell ref="A305:E305"/>
    <mergeCell ref="B306:D306"/>
    <mergeCell ref="A309:E309"/>
    <mergeCell ref="A310:D310"/>
    <mergeCell ref="E344:F344"/>
    <mergeCell ref="A314:C314"/>
    <mergeCell ref="A315:C315"/>
    <mergeCell ref="A316:B316"/>
    <mergeCell ref="E334:F334"/>
    <mergeCell ref="E335:F335"/>
    <mergeCell ref="E343:F34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workbookViewId="0">
      <selection sqref="A1:XFD1048576"/>
    </sheetView>
  </sheetViews>
  <sheetFormatPr baseColWidth="10" defaultRowHeight="10.5" x14ac:dyDescent="0.15"/>
  <cols>
    <col min="1" max="1" width="15" style="4" customWidth="1"/>
    <col min="2" max="2" width="74" style="4" customWidth="1"/>
    <col min="3" max="5" width="21.42578125" style="4" customWidth="1"/>
    <col min="6" max="6" width="19.5703125" style="237" customWidth="1"/>
    <col min="7" max="7" width="2.42578125" style="4" customWidth="1"/>
    <col min="8" max="9" width="5.140625" style="4" customWidth="1"/>
    <col min="10" max="256" width="11.42578125" style="4"/>
    <col min="257" max="257" width="15" style="4" customWidth="1"/>
    <col min="258" max="258" width="74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15" style="4" customWidth="1"/>
    <col min="514" max="514" width="74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15" style="4" customWidth="1"/>
    <col min="770" max="770" width="74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15" style="4" customWidth="1"/>
    <col min="1026" max="1026" width="74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15" style="4" customWidth="1"/>
    <col min="1282" max="1282" width="74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15" style="4" customWidth="1"/>
    <col min="1538" max="1538" width="74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15" style="4" customWidth="1"/>
    <col min="1794" max="1794" width="74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15" style="4" customWidth="1"/>
    <col min="2050" max="2050" width="74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15" style="4" customWidth="1"/>
    <col min="2306" max="2306" width="74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15" style="4" customWidth="1"/>
    <col min="2562" max="2562" width="74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15" style="4" customWidth="1"/>
    <col min="2818" max="2818" width="74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15" style="4" customWidth="1"/>
    <col min="3074" max="3074" width="74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15" style="4" customWidth="1"/>
    <col min="3330" max="3330" width="74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15" style="4" customWidth="1"/>
    <col min="3586" max="3586" width="74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15" style="4" customWidth="1"/>
    <col min="3842" max="3842" width="74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15" style="4" customWidth="1"/>
    <col min="4098" max="4098" width="74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15" style="4" customWidth="1"/>
    <col min="4354" max="4354" width="74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15" style="4" customWidth="1"/>
    <col min="4610" max="4610" width="74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15" style="4" customWidth="1"/>
    <col min="4866" max="4866" width="74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15" style="4" customWidth="1"/>
    <col min="5122" max="5122" width="74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15" style="4" customWidth="1"/>
    <col min="5378" max="5378" width="74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15" style="4" customWidth="1"/>
    <col min="5634" max="5634" width="74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15" style="4" customWidth="1"/>
    <col min="5890" max="5890" width="74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15" style="4" customWidth="1"/>
    <col min="6146" max="6146" width="74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15" style="4" customWidth="1"/>
    <col min="6402" max="6402" width="74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15" style="4" customWidth="1"/>
    <col min="6658" max="6658" width="74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15" style="4" customWidth="1"/>
    <col min="6914" max="6914" width="74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15" style="4" customWidth="1"/>
    <col min="7170" max="7170" width="74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15" style="4" customWidth="1"/>
    <col min="7426" max="7426" width="74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15" style="4" customWidth="1"/>
    <col min="7682" max="7682" width="74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15" style="4" customWidth="1"/>
    <col min="7938" max="7938" width="74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15" style="4" customWidth="1"/>
    <col min="8194" max="8194" width="74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15" style="4" customWidth="1"/>
    <col min="8450" max="8450" width="74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15" style="4" customWidth="1"/>
    <col min="8706" max="8706" width="74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15" style="4" customWidth="1"/>
    <col min="8962" max="8962" width="74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15" style="4" customWidth="1"/>
    <col min="9218" max="9218" width="74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15" style="4" customWidth="1"/>
    <col min="9474" max="9474" width="74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15" style="4" customWidth="1"/>
    <col min="9730" max="9730" width="74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15" style="4" customWidth="1"/>
    <col min="9986" max="9986" width="74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15" style="4" customWidth="1"/>
    <col min="10242" max="10242" width="74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15" style="4" customWidth="1"/>
    <col min="10498" max="10498" width="74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15" style="4" customWidth="1"/>
    <col min="10754" max="10754" width="74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15" style="4" customWidth="1"/>
    <col min="11010" max="11010" width="74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15" style="4" customWidth="1"/>
    <col min="11266" max="11266" width="74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15" style="4" customWidth="1"/>
    <col min="11522" max="11522" width="74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15" style="4" customWidth="1"/>
    <col min="11778" max="11778" width="74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15" style="4" customWidth="1"/>
    <col min="12034" max="12034" width="74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15" style="4" customWidth="1"/>
    <col min="12290" max="12290" width="74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15" style="4" customWidth="1"/>
    <col min="12546" max="12546" width="74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15" style="4" customWidth="1"/>
    <col min="12802" max="12802" width="74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15" style="4" customWidth="1"/>
    <col min="13058" max="13058" width="74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15" style="4" customWidth="1"/>
    <col min="13314" max="13314" width="74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15" style="4" customWidth="1"/>
    <col min="13570" max="13570" width="74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15" style="4" customWidth="1"/>
    <col min="13826" max="13826" width="74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15" style="4" customWidth="1"/>
    <col min="14082" max="14082" width="74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15" style="4" customWidth="1"/>
    <col min="14338" max="14338" width="74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15" style="4" customWidth="1"/>
    <col min="14594" max="14594" width="74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15" style="4" customWidth="1"/>
    <col min="14850" max="14850" width="74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15" style="4" customWidth="1"/>
    <col min="15106" max="15106" width="74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15" style="4" customWidth="1"/>
    <col min="15362" max="15362" width="74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15" style="4" customWidth="1"/>
    <col min="15618" max="15618" width="74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15" style="4" customWidth="1"/>
    <col min="15874" max="15874" width="74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15" style="4" customWidth="1"/>
    <col min="16130" max="16130" width="74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271" t="s">
        <v>1</v>
      </c>
      <c r="D1" s="272"/>
      <c r="E1" s="273"/>
      <c r="F1" s="3"/>
    </row>
    <row r="2" spans="1:7" ht="12.75" x14ac:dyDescent="0.2">
      <c r="A2" s="1" t="str">
        <f>CONCATENATE("COMUNA: ",[10]NOMBRE!B2," - ","( ",[10]NOMBRE!C2,[10]NOMBRE!D2,[10]NOMBRE!E2,[10]NOMBRE!F2,[10]NOMBRE!G2," )")</f>
        <v>COMUNA: LINARES  - ( 07401 )</v>
      </c>
      <c r="B2" s="2"/>
      <c r="C2" s="268"/>
      <c r="D2" s="269"/>
      <c r="E2" s="270"/>
      <c r="F2" s="5"/>
      <c r="G2" s="6"/>
    </row>
    <row r="3" spans="1:7" ht="12.75" x14ac:dyDescent="0.2">
      <c r="A3" s="1" t="str">
        <f>CONCATENATE("ESTABLECIMIENTO: ",[10]NOMBRE!B3," - ","( ",[10]NOMBRE!C3,[10]NOMBRE!D3,[10]NOMBRE!E3,[10]NOMBRE!F3,[10]NOMBRE!G3," )")</f>
        <v>ESTABLECIMIENTO: HOSPITAL DE LINARES - ( 16108 )</v>
      </c>
      <c r="B3" s="2"/>
      <c r="C3" s="271" t="s">
        <v>2</v>
      </c>
      <c r="D3" s="272"/>
      <c r="E3" s="273"/>
      <c r="F3" s="5"/>
      <c r="G3" s="7"/>
    </row>
    <row r="4" spans="1:7" ht="12.75" x14ac:dyDescent="0.2">
      <c r="A4" s="1" t="str">
        <f>CONCATENATE("MES: ",[10]NOMBRE!B6," - ","( ",[10]NOMBRE!C6,[10]NOMBRE!D6," )")</f>
        <v>MES: OCTUBRE - ( 10 )</v>
      </c>
      <c r="B4" s="2"/>
      <c r="C4" s="268" t="str">
        <f>CONCATENATE([10]NOMBRE!B6," ","( ",[10]NOMBRE!C6,[10]NOMBRE!D6," )")</f>
        <v>OCTUBRE ( 10 )</v>
      </c>
      <c r="D4" s="269"/>
      <c r="E4" s="270"/>
      <c r="F4" s="5"/>
      <c r="G4" s="7"/>
    </row>
    <row r="5" spans="1:7" ht="12.75" x14ac:dyDescent="0.2">
      <c r="A5" s="1" t="str">
        <f>CONCATENATE("AÑO: ",[10]NOMBRE!B7)</f>
        <v>AÑO: 2011</v>
      </c>
      <c r="B5" s="2"/>
      <c r="C5" s="271" t="s">
        <v>3</v>
      </c>
      <c r="D5" s="272"/>
      <c r="E5" s="273"/>
      <c r="F5" s="5"/>
      <c r="G5" s="7"/>
    </row>
    <row r="6" spans="1:7" ht="12.75" x14ac:dyDescent="0.2">
      <c r="A6" s="8"/>
      <c r="B6" s="8"/>
      <c r="C6" s="268">
        <f>[10]NOMBRE!B7</f>
        <v>2011</v>
      </c>
      <c r="D6" s="269"/>
      <c r="E6" s="270"/>
      <c r="F6" s="5"/>
      <c r="G6" s="7"/>
    </row>
    <row r="7" spans="1:7" ht="12.75" x14ac:dyDescent="0.2">
      <c r="A7" s="263" t="s">
        <v>4</v>
      </c>
      <c r="B7" s="264"/>
      <c r="C7" s="265" t="s">
        <v>5</v>
      </c>
      <c r="D7" s="266"/>
      <c r="E7" s="267"/>
      <c r="F7" s="5"/>
      <c r="G7" s="7"/>
    </row>
    <row r="8" spans="1:7" ht="12.75" x14ac:dyDescent="0.2">
      <c r="A8" s="8"/>
      <c r="B8" s="9" t="s">
        <v>6</v>
      </c>
      <c r="C8" s="268" t="str">
        <f>CONCATENATE([10]NOMBRE!B3," ","( ",[10]NOMBRE!C3,[10]NOMBRE!D3,[10]NOMBRE!E3,[10]NOMBRE!F3,[10]NOMBRE!G3," )")</f>
        <v>HOSPITAL DE LINARES ( 16108 )</v>
      </c>
      <c r="D8" s="269"/>
      <c r="E8" s="270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256" t="s">
        <v>7</v>
      </c>
      <c r="B11" s="252"/>
      <c r="C11" s="252"/>
      <c r="D11" s="252"/>
      <c r="E11" s="253"/>
      <c r="F11" s="5"/>
    </row>
    <row r="12" spans="1:7" ht="43.5" customHeight="1" x14ac:dyDescent="0.2">
      <c r="A12" s="11" t="s">
        <v>8</v>
      </c>
      <c r="B12" s="11" t="s">
        <v>9</v>
      </c>
      <c r="C12" s="12" t="s">
        <v>10</v>
      </c>
      <c r="D12" s="13" t="s">
        <v>11</v>
      </c>
      <c r="E12" s="14" t="s">
        <v>12</v>
      </c>
      <c r="F12" s="8"/>
    </row>
    <row r="13" spans="1:7" ht="12.75" customHeight="1" x14ac:dyDescent="0.2">
      <c r="A13" s="242" t="s">
        <v>13</v>
      </c>
      <c r="B13" s="243"/>
      <c r="C13" s="243"/>
      <c r="D13" s="243"/>
      <c r="E13" s="244"/>
      <c r="F13" s="8"/>
    </row>
    <row r="14" spans="1:7" ht="15" customHeight="1" x14ac:dyDescent="0.2">
      <c r="A14" s="17" t="s">
        <v>14</v>
      </c>
      <c r="B14" s="18" t="s">
        <v>15</v>
      </c>
      <c r="C14" s="19">
        <f>[10]BS17A!$D13</f>
        <v>0</v>
      </c>
      <c r="D14" s="20">
        <f>[10]BS17A!$U13</f>
        <v>3830</v>
      </c>
      <c r="E14" s="21">
        <f>[10]BS17A!$V13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24">
        <f>[10]BS17A!$D14</f>
        <v>0</v>
      </c>
      <c r="D15" s="25">
        <f>[10]BS17A!$U14</f>
        <v>4820</v>
      </c>
      <c r="E15" s="26">
        <f>[10]BS17A!$V14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24">
        <f>[10]BS17A!$D15</f>
        <v>8954</v>
      </c>
      <c r="D16" s="25">
        <f>[10]BS17A!$U15</f>
        <v>10320</v>
      </c>
      <c r="E16" s="26">
        <f>[10]BS17A!$V15</f>
        <v>92405280</v>
      </c>
      <c r="F16" s="8"/>
    </row>
    <row r="17" spans="1:6" ht="15" customHeight="1" x14ac:dyDescent="0.2">
      <c r="A17" s="22" t="s">
        <v>20</v>
      </c>
      <c r="B17" s="23" t="s">
        <v>21</v>
      </c>
      <c r="C17" s="24">
        <f>[10]BS17A!$D16</f>
        <v>0</v>
      </c>
      <c r="D17" s="25">
        <f>[10]BS17A!$U16</f>
        <v>6170</v>
      </c>
      <c r="E17" s="26">
        <f>[10]BS17A!$V16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24">
        <f>[10]BS17A!$D17</f>
        <v>0</v>
      </c>
      <c r="D18" s="25">
        <f>[10]BS17A!$U17</f>
        <v>6770</v>
      </c>
      <c r="E18" s="26">
        <f>[10]BS17A!$V17</f>
        <v>0</v>
      </c>
      <c r="F18" s="8"/>
    </row>
    <row r="19" spans="1:6" ht="33" customHeight="1" x14ac:dyDescent="0.2">
      <c r="A19" s="22" t="s">
        <v>24</v>
      </c>
      <c r="B19" s="27" t="s">
        <v>25</v>
      </c>
      <c r="C19" s="24">
        <f>[10]BS17A!$D20</f>
        <v>0</v>
      </c>
      <c r="D19" s="25">
        <f>[10]BS17A!$U20</f>
        <v>5210</v>
      </c>
      <c r="E19" s="26">
        <f>[10]BS17A!$V20</f>
        <v>0</v>
      </c>
      <c r="F19" s="8"/>
    </row>
    <row r="20" spans="1:6" ht="42.75" customHeight="1" x14ac:dyDescent="0.2">
      <c r="A20" s="22" t="s">
        <v>26</v>
      </c>
      <c r="B20" s="27" t="s">
        <v>27</v>
      </c>
      <c r="C20" s="24">
        <f>[10]BS17A!$D21</f>
        <v>0</v>
      </c>
      <c r="D20" s="25">
        <f>[10]BS17A!$U21</f>
        <v>6250</v>
      </c>
      <c r="E20" s="26">
        <f>[10]BS17A!$V21</f>
        <v>0</v>
      </c>
      <c r="F20" s="8"/>
    </row>
    <row r="21" spans="1:6" ht="42.75" customHeight="1" x14ac:dyDescent="0.2">
      <c r="A21" s="22" t="s">
        <v>28</v>
      </c>
      <c r="B21" s="27" t="s">
        <v>29</v>
      </c>
      <c r="C21" s="24">
        <f>[10]BS17A!$D22</f>
        <v>0</v>
      </c>
      <c r="D21" s="25">
        <f>[10]BS17A!$U22</f>
        <v>7760</v>
      </c>
      <c r="E21" s="26">
        <f>[10]BS17A!$V22</f>
        <v>0</v>
      </c>
      <c r="F21" s="8"/>
    </row>
    <row r="22" spans="1:6" ht="32.25" customHeight="1" x14ac:dyDescent="0.2">
      <c r="A22" s="22" t="s">
        <v>30</v>
      </c>
      <c r="B22" s="27" t="s">
        <v>31</v>
      </c>
      <c r="C22" s="24">
        <f>[10]BS17A!$D23</f>
        <v>1320</v>
      </c>
      <c r="D22" s="25">
        <f>[10]BS17A!$U23</f>
        <v>5210</v>
      </c>
      <c r="E22" s="26">
        <f>[10]BS17A!$V23</f>
        <v>6877200</v>
      </c>
      <c r="F22" s="8"/>
    </row>
    <row r="23" spans="1:6" ht="40.5" customHeight="1" x14ac:dyDescent="0.2">
      <c r="A23" s="22" t="s">
        <v>32</v>
      </c>
      <c r="B23" s="27" t="s">
        <v>33</v>
      </c>
      <c r="C23" s="24">
        <f>[10]BS17A!$D24</f>
        <v>581</v>
      </c>
      <c r="D23" s="25">
        <f>[10]BS17A!$U24</f>
        <v>6250</v>
      </c>
      <c r="E23" s="26">
        <f>[10]BS17A!$V24</f>
        <v>3631250</v>
      </c>
      <c r="F23" s="8"/>
    </row>
    <row r="24" spans="1:6" ht="27" customHeight="1" x14ac:dyDescent="0.2">
      <c r="A24" s="22" t="s">
        <v>34</v>
      </c>
      <c r="B24" s="27" t="s">
        <v>35</v>
      </c>
      <c r="C24" s="24">
        <f>[10]BS17A!$D25</f>
        <v>1834</v>
      </c>
      <c r="D24" s="25">
        <f>[10]BS17A!$U25</f>
        <v>7760</v>
      </c>
      <c r="E24" s="26">
        <f>[10]BS17A!$V25</f>
        <v>14231840</v>
      </c>
      <c r="F24" s="8"/>
    </row>
    <row r="25" spans="1:6" ht="15" customHeight="1" x14ac:dyDescent="0.2">
      <c r="A25" s="22" t="s">
        <v>36</v>
      </c>
      <c r="B25" s="28" t="s">
        <v>37</v>
      </c>
      <c r="C25" s="24">
        <f>+[10]BS17A!$D791</f>
        <v>162</v>
      </c>
      <c r="D25" s="25">
        <f>+[10]BS17A!$U791</f>
        <v>6330</v>
      </c>
      <c r="E25" s="26">
        <f>+[10]BS17A!$V791</f>
        <v>1025460</v>
      </c>
      <c r="F25" s="8"/>
    </row>
    <row r="26" spans="1:6" ht="15" customHeight="1" x14ac:dyDescent="0.2">
      <c r="A26" s="29" t="s">
        <v>38</v>
      </c>
      <c r="B26" s="30" t="s">
        <v>39</v>
      </c>
      <c r="C26" s="31">
        <f>+[10]BS17A!$D796</f>
        <v>0</v>
      </c>
      <c r="D26" s="32">
        <f>+[10]BS17A!$U796</f>
        <v>26240</v>
      </c>
      <c r="E26" s="33">
        <f>+[10]BS17A!$V796</f>
        <v>0</v>
      </c>
      <c r="F26" s="8"/>
    </row>
    <row r="27" spans="1:6" ht="18" customHeight="1" x14ac:dyDescent="0.2">
      <c r="A27" s="242" t="s">
        <v>40</v>
      </c>
      <c r="B27" s="243"/>
      <c r="C27" s="243"/>
      <c r="D27" s="243"/>
      <c r="E27" s="244"/>
      <c r="F27" s="8"/>
    </row>
    <row r="28" spans="1:6" ht="15" customHeight="1" x14ac:dyDescent="0.2">
      <c r="A28" s="17" t="s">
        <v>41</v>
      </c>
      <c r="B28" s="18" t="s">
        <v>42</v>
      </c>
      <c r="C28" s="19">
        <f>[10]BS17A!$D27</f>
        <v>1434</v>
      </c>
      <c r="D28" s="20">
        <f>[10]BS17A!$U27</f>
        <v>1020</v>
      </c>
      <c r="E28" s="21">
        <f>[10]BS17A!$V27</f>
        <v>1462680</v>
      </c>
      <c r="F28" s="8"/>
    </row>
    <row r="29" spans="1:6" ht="15" customHeight="1" x14ac:dyDescent="0.2">
      <c r="A29" s="22" t="s">
        <v>43</v>
      </c>
      <c r="B29" s="34" t="s">
        <v>44</v>
      </c>
      <c r="C29" s="24">
        <f>[10]BS17A!$D28</f>
        <v>0</v>
      </c>
      <c r="D29" s="25">
        <f>[10]BS17A!$U28</f>
        <v>1740</v>
      </c>
      <c r="E29" s="26">
        <f>[10]BS17A!$V28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24">
        <f>[10]BS17A!$D29</f>
        <v>0</v>
      </c>
      <c r="D30" s="25">
        <f>[10]BS17A!$U29</f>
        <v>550</v>
      </c>
      <c r="E30" s="26">
        <f>[10]BS17A!$V29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24">
        <f>[10]BS17A!$D30</f>
        <v>33</v>
      </c>
      <c r="D31" s="25">
        <f>[10]BS17A!$U30</f>
        <v>1380</v>
      </c>
      <c r="E31" s="26">
        <f>[10]BS17A!$V30</f>
        <v>45540</v>
      </c>
      <c r="F31" s="8"/>
    </row>
    <row r="32" spans="1:6" ht="15" customHeight="1" x14ac:dyDescent="0.2">
      <c r="A32" s="22" t="s">
        <v>49</v>
      </c>
      <c r="B32" s="23" t="s">
        <v>50</v>
      </c>
      <c r="C32" s="24">
        <f>[10]BS17A!$D31</f>
        <v>1061</v>
      </c>
      <c r="D32" s="25">
        <f>[10]BS17A!$U31</f>
        <v>1110</v>
      </c>
      <c r="E32" s="26">
        <f>[10]BS17A!$V31</f>
        <v>1177710</v>
      </c>
      <c r="F32" s="8"/>
    </row>
    <row r="33" spans="1:6" ht="15" customHeight="1" x14ac:dyDescent="0.2">
      <c r="A33" s="22" t="s">
        <v>51</v>
      </c>
      <c r="B33" s="34" t="s">
        <v>52</v>
      </c>
      <c r="C33" s="24">
        <f>[10]BS17A!$D32</f>
        <v>0</v>
      </c>
      <c r="D33" s="25">
        <f>[10]BS17A!$U32</f>
        <v>1020</v>
      </c>
      <c r="E33" s="26">
        <f>[10]BS17A!$V32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24">
        <f>+[10]BS17A!$D792</f>
        <v>0</v>
      </c>
      <c r="D34" s="25">
        <f>+[10]BS17A!$U792</f>
        <v>2480</v>
      </c>
      <c r="E34" s="26">
        <f>+[10]BS17A!$V792</f>
        <v>0</v>
      </c>
      <c r="F34" s="8"/>
    </row>
    <row r="35" spans="1:6" ht="15" customHeight="1" x14ac:dyDescent="0.2">
      <c r="A35" s="22" t="s">
        <v>55</v>
      </c>
      <c r="B35" s="34" t="s">
        <v>56</v>
      </c>
      <c r="C35" s="24">
        <f>+[10]BS17A!$D793</f>
        <v>582</v>
      </c>
      <c r="D35" s="25">
        <f>+[10]BS17A!$U793</f>
        <v>2480</v>
      </c>
      <c r="E35" s="26">
        <f>+[10]BS17A!$V793</f>
        <v>1443360</v>
      </c>
      <c r="F35" s="8"/>
    </row>
    <row r="36" spans="1:6" ht="15" customHeight="1" x14ac:dyDescent="0.2">
      <c r="A36" s="22" t="s">
        <v>57</v>
      </c>
      <c r="B36" s="34" t="s">
        <v>58</v>
      </c>
      <c r="C36" s="24">
        <f>+[10]BS17A!$D794</f>
        <v>1</v>
      </c>
      <c r="D36" s="25">
        <f>+[10]BS17A!$U794</f>
        <v>9880</v>
      </c>
      <c r="E36" s="26">
        <f>+[10]BS17A!$V794</f>
        <v>9880</v>
      </c>
      <c r="F36" s="8"/>
    </row>
    <row r="37" spans="1:6" ht="15" customHeight="1" x14ac:dyDescent="0.2">
      <c r="A37" s="29" t="s">
        <v>59</v>
      </c>
      <c r="B37" s="35" t="s">
        <v>60</v>
      </c>
      <c r="C37" s="31">
        <f>+[10]BS17A!$D795</f>
        <v>20</v>
      </c>
      <c r="D37" s="32">
        <f>+[10]BS17A!$U795</f>
        <v>11570</v>
      </c>
      <c r="E37" s="33">
        <f>+[10]BS17A!$V795</f>
        <v>231400</v>
      </c>
      <c r="F37" s="8"/>
    </row>
    <row r="38" spans="1:6" ht="18" customHeight="1" x14ac:dyDescent="0.2">
      <c r="A38" s="251" t="s">
        <v>61</v>
      </c>
      <c r="B38" s="254"/>
      <c r="C38" s="254"/>
      <c r="D38" s="254"/>
      <c r="E38" s="255"/>
      <c r="F38" s="8"/>
    </row>
    <row r="39" spans="1:6" ht="15" customHeight="1" x14ac:dyDescent="0.2">
      <c r="A39" s="17" t="s">
        <v>62</v>
      </c>
      <c r="B39" s="36" t="s">
        <v>63</v>
      </c>
      <c r="C39" s="19">
        <f>+[10]BS17A!$D797</f>
        <v>0</v>
      </c>
      <c r="D39" s="37">
        <f>+[10]BS17A!$U797</f>
        <v>2882</v>
      </c>
      <c r="E39" s="38">
        <f>+[10]BS17A!$V797</f>
        <v>0</v>
      </c>
      <c r="F39" s="8"/>
    </row>
    <row r="40" spans="1:6" ht="15" customHeight="1" x14ac:dyDescent="0.2">
      <c r="A40" s="29" t="s">
        <v>64</v>
      </c>
      <c r="B40" s="39" t="s">
        <v>65</v>
      </c>
      <c r="C40" s="31">
        <f>+[10]BS17A!$D798</f>
        <v>0</v>
      </c>
      <c r="D40" s="40">
        <f>+[10]BS17A!$U798</f>
        <v>6766</v>
      </c>
      <c r="E40" s="41">
        <f>+[10]BS17A!$V798</f>
        <v>0</v>
      </c>
      <c r="F40" s="8"/>
    </row>
    <row r="41" spans="1:6" ht="18" customHeight="1" x14ac:dyDescent="0.2">
      <c r="A41" s="251" t="s">
        <v>66</v>
      </c>
      <c r="B41" s="254"/>
      <c r="C41" s="254"/>
      <c r="D41" s="254"/>
      <c r="E41" s="255"/>
      <c r="F41" s="8"/>
    </row>
    <row r="42" spans="1:6" ht="15" customHeight="1" x14ac:dyDescent="0.2">
      <c r="A42" s="17" t="s">
        <v>67</v>
      </c>
      <c r="B42" s="42" t="s">
        <v>68</v>
      </c>
      <c r="C42" s="19">
        <f>+[10]BS17A!$D34</f>
        <v>0</v>
      </c>
      <c r="D42" s="37">
        <f>+[10]BS17A!$U34</f>
        <v>3340</v>
      </c>
      <c r="E42" s="38">
        <f>+[10]BS17A!$V34</f>
        <v>0</v>
      </c>
      <c r="F42" s="8"/>
    </row>
    <row r="43" spans="1:6" ht="15" customHeight="1" x14ac:dyDescent="0.2">
      <c r="A43" s="22" t="s">
        <v>69</v>
      </c>
      <c r="B43" s="23" t="s">
        <v>70</v>
      </c>
      <c r="C43" s="24">
        <f>+[10]BS17A!$D35</f>
        <v>560</v>
      </c>
      <c r="D43" s="25">
        <f>+[10]BS17A!$U35</f>
        <v>1840</v>
      </c>
      <c r="E43" s="26">
        <f>+[10]BS17A!$V35</f>
        <v>1030400</v>
      </c>
      <c r="F43" s="8"/>
    </row>
    <row r="44" spans="1:6" ht="15" customHeight="1" x14ac:dyDescent="0.2">
      <c r="A44" s="22" t="s">
        <v>71</v>
      </c>
      <c r="B44" s="23" t="s">
        <v>72</v>
      </c>
      <c r="C44" s="24">
        <f>+[10]BS17A!$D36</f>
        <v>2</v>
      </c>
      <c r="D44" s="25">
        <f>+[10]BS17A!$U36</f>
        <v>1840</v>
      </c>
      <c r="E44" s="26">
        <f>+[10]BS17A!$V36</f>
        <v>3680</v>
      </c>
      <c r="F44" s="8"/>
    </row>
    <row r="45" spans="1:6" ht="15" customHeight="1" x14ac:dyDescent="0.2">
      <c r="A45" s="29" t="s">
        <v>73</v>
      </c>
      <c r="B45" s="43" t="s">
        <v>74</v>
      </c>
      <c r="C45" s="31">
        <f>+[10]BS17A!$D37</f>
        <v>577</v>
      </c>
      <c r="D45" s="40">
        <f>+[10]BS17A!$U37</f>
        <v>550</v>
      </c>
      <c r="E45" s="41">
        <f>+[10]BS17A!$V37</f>
        <v>317350</v>
      </c>
      <c r="F45" s="8"/>
    </row>
    <row r="46" spans="1:6" ht="18" customHeight="1" x14ac:dyDescent="0.2">
      <c r="A46" s="251" t="s">
        <v>75</v>
      </c>
      <c r="B46" s="254"/>
      <c r="C46" s="254"/>
      <c r="D46" s="254"/>
      <c r="E46" s="255"/>
      <c r="F46" s="8"/>
    </row>
    <row r="47" spans="1:6" ht="15" customHeight="1" x14ac:dyDescent="0.2">
      <c r="A47" s="17" t="s">
        <v>76</v>
      </c>
      <c r="B47" s="42" t="s">
        <v>77</v>
      </c>
      <c r="C47" s="19">
        <f>+[10]BS17A!$D39</f>
        <v>0</v>
      </c>
      <c r="D47" s="37">
        <f>+[10]BS17A!$U39</f>
        <v>1590</v>
      </c>
      <c r="E47" s="38">
        <f>+[10]BS17A!$V39</f>
        <v>0</v>
      </c>
      <c r="F47" s="8"/>
    </row>
    <row r="48" spans="1:6" ht="15" customHeight="1" x14ac:dyDescent="0.2">
      <c r="A48" s="22" t="s">
        <v>78</v>
      </c>
      <c r="B48" s="23" t="s">
        <v>79</v>
      </c>
      <c r="C48" s="24">
        <f>+[10]BS17A!$D40</f>
        <v>11</v>
      </c>
      <c r="D48" s="25">
        <f>+[10]BS17A!$U40</f>
        <v>1590</v>
      </c>
      <c r="E48" s="26">
        <f>+[10]BS17A!$V40</f>
        <v>17490</v>
      </c>
      <c r="F48" s="8"/>
    </row>
    <row r="49" spans="1:7" ht="15" customHeight="1" x14ac:dyDescent="0.2">
      <c r="A49" s="29" t="s">
        <v>80</v>
      </c>
      <c r="B49" s="43" t="s">
        <v>81</v>
      </c>
      <c r="C49" s="31">
        <f>+[10]BS17A!$D41</f>
        <v>0</v>
      </c>
      <c r="D49" s="40">
        <f>+[10]BS17A!$U41</f>
        <v>910</v>
      </c>
      <c r="E49" s="41">
        <f>+[10]BS17A!$V41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17132</v>
      </c>
      <c r="D50" s="46"/>
      <c r="E50" s="47">
        <f>SUM(E14:E49)</f>
        <v>123910520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251" t="s">
        <v>83</v>
      </c>
      <c r="B53" s="254"/>
      <c r="C53" s="254"/>
      <c r="D53" s="254"/>
      <c r="E53" s="255"/>
      <c r="F53" s="51"/>
      <c r="G53" s="52"/>
    </row>
    <row r="54" spans="1:7" ht="38.25" x14ac:dyDescent="0.2">
      <c r="A54" s="11" t="s">
        <v>8</v>
      </c>
      <c r="B54" s="11" t="s">
        <v>84</v>
      </c>
      <c r="C54" s="12" t="s">
        <v>10</v>
      </c>
      <c r="D54" s="53"/>
      <c r="E54" s="14" t="s">
        <v>12</v>
      </c>
      <c r="F54" s="8"/>
    </row>
    <row r="55" spans="1:7" ht="18" customHeight="1" x14ac:dyDescent="0.2">
      <c r="A55" s="54" t="s">
        <v>85</v>
      </c>
      <c r="B55" s="55" t="s">
        <v>86</v>
      </c>
      <c r="C55" s="56">
        <f>+[10]BS17!$D12</f>
        <v>47499</v>
      </c>
      <c r="D55" s="57"/>
      <c r="E55" s="58">
        <f>+E56+E57+E58+E59+E60+E61+E65+E66+E67</f>
        <v>59838760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+[10]BS17!$D13</f>
        <v>18392</v>
      </c>
      <c r="D56" s="61"/>
      <c r="E56" s="62">
        <f>+[10]BS17A!V83</f>
        <v>17613010</v>
      </c>
      <c r="F56" s="8"/>
    </row>
    <row r="57" spans="1:7" ht="15" customHeight="1" x14ac:dyDescent="0.2">
      <c r="A57" s="22" t="s">
        <v>89</v>
      </c>
      <c r="B57" s="28" t="s">
        <v>90</v>
      </c>
      <c r="C57" s="24">
        <f>+[10]BS17!$D14</f>
        <v>20326</v>
      </c>
      <c r="D57" s="63"/>
      <c r="E57" s="64">
        <f>+[10]BS17A!V174</f>
        <v>21940200</v>
      </c>
      <c r="F57" s="8"/>
    </row>
    <row r="58" spans="1:7" ht="15" customHeight="1" x14ac:dyDescent="0.2">
      <c r="A58" s="22" t="s">
        <v>91</v>
      </c>
      <c r="B58" s="28" t="s">
        <v>92</v>
      </c>
      <c r="C58" s="24">
        <f>+[10]BS17!$D15</f>
        <v>969</v>
      </c>
      <c r="D58" s="63"/>
      <c r="E58" s="64">
        <f>+[10]BS17A!V243</f>
        <v>3105550</v>
      </c>
      <c r="F58" s="8"/>
    </row>
    <row r="59" spans="1:7" ht="15" customHeight="1" x14ac:dyDescent="0.2">
      <c r="A59" s="22" t="s">
        <v>93</v>
      </c>
      <c r="B59" s="28" t="s">
        <v>94</v>
      </c>
      <c r="C59" s="24">
        <f>+[10]BS17!$D16</f>
        <v>0</v>
      </c>
      <c r="D59" s="63"/>
      <c r="E59" s="64">
        <f>+[10]BS17A!V289</f>
        <v>0</v>
      </c>
      <c r="F59" s="8"/>
    </row>
    <row r="60" spans="1:7" ht="15" customHeight="1" x14ac:dyDescent="0.2">
      <c r="A60" s="65" t="s">
        <v>95</v>
      </c>
      <c r="B60" s="30" t="s">
        <v>96</v>
      </c>
      <c r="C60" s="66">
        <f>+[10]BS17!$D17</f>
        <v>1095</v>
      </c>
      <c r="D60" s="67"/>
      <c r="E60" s="68">
        <f>+[10]BS17A!V295</f>
        <v>4537980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+[10]BS17!$D18</f>
        <v>4276</v>
      </c>
      <c r="D61" s="71"/>
      <c r="E61" s="72">
        <f>SUM(E62:E64)</f>
        <v>9874330</v>
      </c>
      <c r="F61" s="8"/>
    </row>
    <row r="62" spans="1:7" ht="15" customHeight="1" x14ac:dyDescent="0.2">
      <c r="A62" s="73"/>
      <c r="B62" s="42" t="s">
        <v>99</v>
      </c>
      <c r="C62" s="19">
        <f>+[10]BS17!$D19</f>
        <v>3651</v>
      </c>
      <c r="D62" s="74"/>
      <c r="E62" s="75">
        <f>+[10]BS17A!V362</f>
        <v>7631640</v>
      </c>
      <c r="F62" s="8"/>
    </row>
    <row r="63" spans="1:7" ht="15" customHeight="1" x14ac:dyDescent="0.2">
      <c r="A63" s="73"/>
      <c r="B63" s="28" t="s">
        <v>100</v>
      </c>
      <c r="C63" s="24">
        <f>+[10]BS17!$D20</f>
        <v>76</v>
      </c>
      <c r="D63" s="63"/>
      <c r="E63" s="64">
        <f>+[10]BS17A!V405</f>
        <v>186080</v>
      </c>
      <c r="F63" s="8"/>
    </row>
    <row r="64" spans="1:7" ht="15" customHeight="1" x14ac:dyDescent="0.2">
      <c r="A64" s="76"/>
      <c r="B64" s="43" t="s">
        <v>101</v>
      </c>
      <c r="C64" s="31">
        <f>+[10]BS17!$D21</f>
        <v>549</v>
      </c>
      <c r="D64" s="77"/>
      <c r="E64" s="78">
        <f>+[10]BS17A!V428</f>
        <v>2056610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+[10]BS17!$D22</f>
        <v>0</v>
      </c>
      <c r="D65" s="61"/>
      <c r="E65" s="62">
        <f>+[10]BS17A!V446</f>
        <v>0</v>
      </c>
      <c r="F65" s="8"/>
    </row>
    <row r="66" spans="1:7" ht="15" customHeight="1" x14ac:dyDescent="0.2">
      <c r="A66" s="22" t="s">
        <v>104</v>
      </c>
      <c r="B66" s="28" t="s">
        <v>105</v>
      </c>
      <c r="C66" s="24">
        <f>+[10]BS17!$D23</f>
        <v>76</v>
      </c>
      <c r="D66" s="63"/>
      <c r="E66" s="64">
        <f>+[10]BS17A!V456</f>
        <v>152310</v>
      </c>
      <c r="F66" s="8"/>
    </row>
    <row r="67" spans="1:7" ht="15" customHeight="1" x14ac:dyDescent="0.2">
      <c r="A67" s="65" t="s">
        <v>106</v>
      </c>
      <c r="B67" s="30" t="s">
        <v>107</v>
      </c>
      <c r="C67" s="66">
        <f>+[10]BS17!$D24</f>
        <v>2365</v>
      </c>
      <c r="D67" s="67"/>
      <c r="E67" s="68">
        <f>+[10]BS17A!V500</f>
        <v>2615380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+[10]BS17!$D25</f>
        <v>4213</v>
      </c>
      <c r="D68" s="83"/>
      <c r="E68" s="84">
        <f>SUM(E69:E74)</f>
        <v>51479250</v>
      </c>
      <c r="F68" s="8"/>
    </row>
    <row r="69" spans="1:7" ht="15" customHeight="1" x14ac:dyDescent="0.2">
      <c r="A69" s="22" t="s">
        <v>110</v>
      </c>
      <c r="B69" s="28" t="s">
        <v>111</v>
      </c>
      <c r="C69" s="24">
        <f>+[10]BS17!$D26</f>
        <v>2843</v>
      </c>
      <c r="D69" s="63"/>
      <c r="E69" s="64">
        <f>+[10]BS17A!V535</f>
        <v>20489770</v>
      </c>
      <c r="F69" s="8"/>
    </row>
    <row r="70" spans="1:7" ht="15" customHeight="1" x14ac:dyDescent="0.2">
      <c r="A70" s="22" t="s">
        <v>112</v>
      </c>
      <c r="B70" s="28" t="s">
        <v>113</v>
      </c>
      <c r="C70" s="24">
        <f>+[10]BS17!$D27</f>
        <v>0</v>
      </c>
      <c r="D70" s="63"/>
      <c r="E70" s="64">
        <f>+[10]BS17A!V590</f>
        <v>0</v>
      </c>
      <c r="F70" s="8"/>
    </row>
    <row r="71" spans="1:7" ht="15" customHeight="1" x14ac:dyDescent="0.2">
      <c r="A71" s="22" t="s">
        <v>114</v>
      </c>
      <c r="B71" s="28" t="s">
        <v>115</v>
      </c>
      <c r="C71" s="24">
        <f>+[10]BS17!$D28</f>
        <v>378</v>
      </c>
      <c r="D71" s="63"/>
      <c r="E71" s="64">
        <f>+[10]BS17A!V615</f>
        <v>17815510</v>
      </c>
      <c r="F71" s="8"/>
    </row>
    <row r="72" spans="1:7" ht="15" customHeight="1" x14ac:dyDescent="0.2">
      <c r="A72" s="22" t="s">
        <v>116</v>
      </c>
      <c r="B72" s="28" t="s">
        <v>117</v>
      </c>
      <c r="C72" s="24">
        <f>+[10]BS17!$D30+[10]BS17!$D32</f>
        <v>992</v>
      </c>
      <c r="D72" s="63"/>
      <c r="E72" s="64">
        <f>+[10]BS17A!V633-[10]BS17A!V634</f>
        <v>13173970</v>
      </c>
      <c r="F72" s="8"/>
    </row>
    <row r="73" spans="1:7" ht="15" customHeight="1" x14ac:dyDescent="0.2">
      <c r="A73" s="85"/>
      <c r="B73" s="28" t="s">
        <v>118</v>
      </c>
      <c r="C73" s="24">
        <f>+[10]BS17!$D31</f>
        <v>0</v>
      </c>
      <c r="D73" s="63"/>
      <c r="E73" s="64">
        <f>+[10]BS17A!V634</f>
        <v>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+[10]BS17!$D33</f>
        <v>0</v>
      </c>
      <c r="D74" s="89"/>
      <c r="E74" s="90">
        <f>+[10]BS17A!V654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+[10]BS17!$D34</f>
        <v>0</v>
      </c>
      <c r="D75" s="94"/>
      <c r="E75" s="95">
        <f>+[10]BS17A!V779</f>
        <v>0</v>
      </c>
      <c r="F75" s="8"/>
    </row>
    <row r="76" spans="1:7" ht="15" customHeight="1" x14ac:dyDescent="0.2">
      <c r="A76" s="96"/>
      <c r="B76" s="97" t="s">
        <v>123</v>
      </c>
      <c r="C76" s="56">
        <f>+C55+C68+C75</f>
        <v>51712</v>
      </c>
      <c r="D76" s="57"/>
      <c r="E76" s="98">
        <f>+E55+E68+E75</f>
        <v>111318010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256" t="s">
        <v>124</v>
      </c>
      <c r="B79" s="252"/>
      <c r="C79" s="252"/>
      <c r="D79" s="252"/>
      <c r="E79" s="253"/>
      <c r="F79" s="51"/>
      <c r="G79" s="52"/>
    </row>
    <row r="80" spans="1:7" ht="38.25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19">
        <f>+[10]BS17!D49</f>
        <v>0</v>
      </c>
      <c r="D81" s="61"/>
      <c r="E81" s="103">
        <f>+SUM([10]BS17A!V670+[10]BS17A!V697+[10]BS17A!V716+[10]BS17A!V723+[10]BS17A!V726+[10]BS17A!V743+[10]BS17A!V760)</f>
        <v>0</v>
      </c>
      <c r="F81" s="8"/>
    </row>
    <row r="82" spans="1:6" ht="15" customHeight="1" x14ac:dyDescent="0.2">
      <c r="A82" s="104">
        <v>2001</v>
      </c>
      <c r="B82" s="28" t="s">
        <v>127</v>
      </c>
      <c r="C82" s="24">
        <f>+[10]BS17!E120</f>
        <v>1205</v>
      </c>
      <c r="D82" s="63"/>
      <c r="E82" s="105">
        <f>+[10]BS17A!V1562</f>
        <v>9738070</v>
      </c>
      <c r="F82" s="8"/>
    </row>
    <row r="83" spans="1:6" ht="15" customHeight="1" x14ac:dyDescent="0.2">
      <c r="A83" s="65" t="s">
        <v>128</v>
      </c>
      <c r="B83" s="30" t="s">
        <v>129</v>
      </c>
      <c r="C83" s="66">
        <f>+[10]BS17A!D1837</f>
        <v>23</v>
      </c>
      <c r="D83" s="67"/>
      <c r="E83" s="106">
        <f>+[10]BS17A!V1837</f>
        <v>1415490</v>
      </c>
      <c r="F83" s="8"/>
    </row>
    <row r="84" spans="1:6" ht="17.25" customHeight="1" x14ac:dyDescent="0.2">
      <c r="A84" s="96"/>
      <c r="B84" s="97" t="s">
        <v>130</v>
      </c>
      <c r="C84" s="56">
        <f>+SUM(C81:C83)</f>
        <v>1228</v>
      </c>
      <c r="D84" s="57"/>
      <c r="E84" s="107">
        <f>SUM(E81:E83)</f>
        <v>11153560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239" t="s">
        <v>131</v>
      </c>
      <c r="B87" s="240"/>
      <c r="C87" s="240"/>
      <c r="D87" s="240"/>
      <c r="E87" s="240"/>
      <c r="F87" s="241"/>
    </row>
    <row r="88" spans="1:6" ht="33.75" customHeight="1" x14ac:dyDescent="0.15">
      <c r="A88" s="260" t="s">
        <v>8</v>
      </c>
      <c r="B88" s="260" t="s">
        <v>9</v>
      </c>
      <c r="C88" s="242" t="s">
        <v>10</v>
      </c>
      <c r="D88" s="243"/>
      <c r="E88" s="243"/>
      <c r="F88" s="244"/>
    </row>
    <row r="89" spans="1:6" ht="35.25" customHeight="1" x14ac:dyDescent="0.15">
      <c r="A89" s="261"/>
      <c r="B89" s="261"/>
      <c r="C89" s="99" t="s">
        <v>132</v>
      </c>
      <c r="D89" s="108" t="s">
        <v>133</v>
      </c>
      <c r="E89" s="13" t="s">
        <v>134</v>
      </c>
      <c r="F89" s="1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+[10]BS17!F66</f>
        <v>0</v>
      </c>
      <c r="D90" s="110">
        <f>+[10]BS17!G66</f>
        <v>0</v>
      </c>
      <c r="E90" s="111">
        <f>+[10]BS17!H66</f>
        <v>0</v>
      </c>
      <c r="F90" s="112">
        <f>[10]BS17A!V807</f>
        <v>0</v>
      </c>
    </row>
    <row r="91" spans="1:6" ht="15" customHeight="1" x14ac:dyDescent="0.2">
      <c r="A91" s="22" t="s">
        <v>137</v>
      </c>
      <c r="B91" s="28" t="s">
        <v>138</v>
      </c>
      <c r="C91" s="113">
        <f>+[10]BS17!F67</f>
        <v>96</v>
      </c>
      <c r="D91" s="114">
        <f>+[10]BS17!G67</f>
        <v>0</v>
      </c>
      <c r="E91" s="115">
        <f>+[10]BS17!H67</f>
        <v>0</v>
      </c>
      <c r="F91" s="116">
        <f>[10]BS17A!V878</f>
        <v>36409580</v>
      </c>
    </row>
    <row r="92" spans="1:6" ht="15" customHeight="1" x14ac:dyDescent="0.2">
      <c r="A92" s="22" t="s">
        <v>139</v>
      </c>
      <c r="B92" s="28" t="s">
        <v>140</v>
      </c>
      <c r="C92" s="113">
        <f>+[10]BS17!F68</f>
        <v>10</v>
      </c>
      <c r="D92" s="114">
        <f>+[10]BS17!G68</f>
        <v>0</v>
      </c>
      <c r="E92" s="115">
        <f>+[10]BS17!H68</f>
        <v>0</v>
      </c>
      <c r="F92" s="116">
        <f>[10]BS17A!V957</f>
        <v>734700</v>
      </c>
    </row>
    <row r="93" spans="1:6" ht="15" customHeight="1" x14ac:dyDescent="0.2">
      <c r="A93" s="22" t="s">
        <v>141</v>
      </c>
      <c r="B93" s="28" t="s">
        <v>142</v>
      </c>
      <c r="C93" s="113">
        <f>+[10]BS17!F69</f>
        <v>2</v>
      </c>
      <c r="D93" s="114">
        <f>+[10]BS17!G69</f>
        <v>0</v>
      </c>
      <c r="E93" s="115">
        <f>+[10]BS17!H69</f>
        <v>0</v>
      </c>
      <c r="F93" s="116">
        <f>[10]BS17A!V1033</f>
        <v>213500</v>
      </c>
    </row>
    <row r="94" spans="1:6" ht="15" customHeight="1" x14ac:dyDescent="0.2">
      <c r="A94" s="22" t="s">
        <v>143</v>
      </c>
      <c r="B94" s="28" t="s">
        <v>144</v>
      </c>
      <c r="C94" s="113">
        <f>+[10]BS17!F70</f>
        <v>94</v>
      </c>
      <c r="D94" s="114">
        <f>+[10]BS17!G70</f>
        <v>1</v>
      </c>
      <c r="E94" s="115">
        <f>+[10]BS17!H70</f>
        <v>0</v>
      </c>
      <c r="F94" s="116">
        <f>[10]BS17A!V1094</f>
        <v>5296775</v>
      </c>
    </row>
    <row r="95" spans="1:6" ht="15" customHeight="1" x14ac:dyDescent="0.2">
      <c r="A95" s="22" t="s">
        <v>145</v>
      </c>
      <c r="B95" s="28" t="s">
        <v>146</v>
      </c>
      <c r="C95" s="113">
        <f>+[10]BS17!F71</f>
        <v>103</v>
      </c>
      <c r="D95" s="114">
        <f>+[10]BS17!G71</f>
        <v>1</v>
      </c>
      <c r="E95" s="115">
        <f>+[10]BS17!H71</f>
        <v>0</v>
      </c>
      <c r="F95" s="116">
        <f>[10]BS17A!V1162</f>
        <v>2215165</v>
      </c>
    </row>
    <row r="96" spans="1:6" ht="15" customHeight="1" x14ac:dyDescent="0.2">
      <c r="A96" s="22" t="s">
        <v>147</v>
      </c>
      <c r="B96" s="28" t="s">
        <v>148</v>
      </c>
      <c r="C96" s="113">
        <f>+[10]BS17!F72</f>
        <v>2</v>
      </c>
      <c r="D96" s="114">
        <f>+[10]BS17!G72</f>
        <v>1</v>
      </c>
      <c r="E96" s="115">
        <f>+[10]BS17!H72</f>
        <v>0</v>
      </c>
      <c r="F96" s="116">
        <f>[10]BS17A!V1210</f>
        <v>551405</v>
      </c>
    </row>
    <row r="97" spans="1:6" ht="15" customHeight="1" x14ac:dyDescent="0.2">
      <c r="A97" s="22" t="s">
        <v>149</v>
      </c>
      <c r="B97" s="28" t="s">
        <v>150</v>
      </c>
      <c r="C97" s="113">
        <f>+[10]BS17!F73</f>
        <v>5</v>
      </c>
      <c r="D97" s="114">
        <f>+[10]BS17!G73</f>
        <v>3</v>
      </c>
      <c r="E97" s="115">
        <f>+[10]BS17!H73</f>
        <v>0</v>
      </c>
      <c r="F97" s="116">
        <f>[10]BS17A!V1276</f>
        <v>739885</v>
      </c>
    </row>
    <row r="98" spans="1:6" ht="15" customHeight="1" x14ac:dyDescent="0.2">
      <c r="A98" s="22" t="s">
        <v>151</v>
      </c>
      <c r="B98" s="28" t="s">
        <v>152</v>
      </c>
      <c r="C98" s="113">
        <f>+[10]BS17!F74</f>
        <v>155</v>
      </c>
      <c r="D98" s="114">
        <f>+[10]BS17!G74</f>
        <v>18</v>
      </c>
      <c r="E98" s="115">
        <f>+[10]BS17!H74</f>
        <v>0</v>
      </c>
      <c r="F98" s="116">
        <f>[10]BS17A!V1346</f>
        <v>38677835</v>
      </c>
    </row>
    <row r="99" spans="1:6" ht="15" customHeight="1" x14ac:dyDescent="0.2">
      <c r="A99" s="22" t="s">
        <v>153</v>
      </c>
      <c r="B99" s="28" t="s">
        <v>154</v>
      </c>
      <c r="C99" s="113">
        <f>+[10]BS17!F75</f>
        <v>9</v>
      </c>
      <c r="D99" s="114">
        <f>+[10]BS17!G75</f>
        <v>0</v>
      </c>
      <c r="E99" s="115">
        <f>+[10]BS17!H75</f>
        <v>0</v>
      </c>
      <c r="F99" s="116">
        <f>[10]BS17A!V1430</f>
        <v>663270</v>
      </c>
    </row>
    <row r="100" spans="1:6" ht="15" customHeight="1" x14ac:dyDescent="0.2">
      <c r="A100" s="22" t="s">
        <v>155</v>
      </c>
      <c r="B100" s="28" t="s">
        <v>156</v>
      </c>
      <c r="C100" s="113">
        <f>+[10]BS17!F76</f>
        <v>17</v>
      </c>
      <c r="D100" s="114">
        <f>+[10]BS17!G76</f>
        <v>2</v>
      </c>
      <c r="E100" s="115">
        <f>+[10]BS17!H76</f>
        <v>0</v>
      </c>
      <c r="F100" s="116">
        <f>[10]BS17A!V1477</f>
        <v>2741150</v>
      </c>
    </row>
    <row r="101" spans="1:6" ht="15" customHeight="1" x14ac:dyDescent="0.2">
      <c r="A101" s="22" t="s">
        <v>157</v>
      </c>
      <c r="B101" s="28" t="s">
        <v>158</v>
      </c>
      <c r="C101" s="113">
        <f>+[10]BS17!F77</f>
        <v>7</v>
      </c>
      <c r="D101" s="114">
        <f>+[10]BS17!G77</f>
        <v>0</v>
      </c>
      <c r="E101" s="115">
        <f>+[10]BS17!H77</f>
        <v>0</v>
      </c>
      <c r="F101" s="116">
        <f>[10]BS17A!V1580</f>
        <v>1624340</v>
      </c>
    </row>
    <row r="102" spans="1:6" ht="15" customHeight="1" x14ac:dyDescent="0.2">
      <c r="A102" s="65" t="s">
        <v>159</v>
      </c>
      <c r="B102" s="30" t="s">
        <v>160</v>
      </c>
      <c r="C102" s="117">
        <f>+[10]BS17!F78</f>
        <v>37</v>
      </c>
      <c r="D102" s="118">
        <f>+[10]BS17!G78</f>
        <v>4</v>
      </c>
      <c r="E102" s="119">
        <f>+[10]BS17!H78</f>
        <v>0</v>
      </c>
      <c r="F102" s="120">
        <f>[10]BS17A!V1585</f>
        <v>6236075</v>
      </c>
    </row>
    <row r="103" spans="1:6" ht="15" customHeight="1" x14ac:dyDescent="0.2">
      <c r="A103" s="17" t="s">
        <v>161</v>
      </c>
      <c r="B103" s="36" t="s">
        <v>162</v>
      </c>
      <c r="C103" s="109">
        <f>+[10]BS17!F79</f>
        <v>68</v>
      </c>
      <c r="D103" s="110">
        <f>+[10]BS17!G79</f>
        <v>0</v>
      </c>
      <c r="E103" s="111">
        <f>+[10]BS17!H79</f>
        <v>0</v>
      </c>
      <c r="F103" s="112">
        <f>+[10]BS17A!V1619</f>
        <v>7526440</v>
      </c>
    </row>
    <row r="104" spans="1:6" ht="15" customHeight="1" x14ac:dyDescent="0.2">
      <c r="A104" s="22"/>
      <c r="B104" s="28" t="s">
        <v>163</v>
      </c>
      <c r="C104" s="113">
        <f>+[10]BS17A!D1623</f>
        <v>1</v>
      </c>
      <c r="D104" s="114">
        <f>+[10]BS17A!F1623</f>
        <v>0</v>
      </c>
      <c r="E104" s="115">
        <f>+[10]BS17A!G1623</f>
        <v>0</v>
      </c>
      <c r="F104" s="116">
        <f>+[10]BS17A!V1623</f>
        <v>232570</v>
      </c>
    </row>
    <row r="105" spans="1:6" ht="15" customHeight="1" x14ac:dyDescent="0.2">
      <c r="A105" s="22"/>
      <c r="B105" s="28" t="s">
        <v>164</v>
      </c>
      <c r="C105" s="113">
        <f>+[10]BS17A!D1622</f>
        <v>45</v>
      </c>
      <c r="D105" s="114">
        <f>+[10]BS17A!F1622</f>
        <v>0</v>
      </c>
      <c r="E105" s="115">
        <f>+[10]BS17A!G1622</f>
        <v>0</v>
      </c>
      <c r="F105" s="116">
        <f>+[10]BS17A!V1622</f>
        <v>5325750</v>
      </c>
    </row>
    <row r="106" spans="1:6" ht="15" customHeight="1" x14ac:dyDescent="0.2">
      <c r="A106" s="29"/>
      <c r="B106" s="39" t="s">
        <v>165</v>
      </c>
      <c r="C106" s="121">
        <f>+[10]BS17A!D1620+[10]BS17A!D1621</f>
        <v>22</v>
      </c>
      <c r="D106" s="122">
        <f>+[10]BS17A!F1620+[10]BS17A!F1621</f>
        <v>0</v>
      </c>
      <c r="E106" s="123">
        <f>+[10]BS17A!G1620+[10]BS17A!G1621</f>
        <v>0</v>
      </c>
      <c r="F106" s="124">
        <f>+[10]BS17A!V1620+[10]BS17A!V1621</f>
        <v>1968120</v>
      </c>
    </row>
    <row r="107" spans="1:6" ht="15" customHeight="1" x14ac:dyDescent="0.2">
      <c r="A107" s="59" t="s">
        <v>166</v>
      </c>
      <c r="B107" s="79" t="s">
        <v>167</v>
      </c>
      <c r="C107" s="125">
        <f>+[10]BS17!F80</f>
        <v>45</v>
      </c>
      <c r="D107" s="126">
        <f>+[10]BS17!G80</f>
        <v>4</v>
      </c>
      <c r="E107" s="127">
        <f>+[10]BS17!H80</f>
        <v>0</v>
      </c>
      <c r="F107" s="128">
        <f>+[10]BS17A!V1627</f>
        <v>7494175</v>
      </c>
    </row>
    <row r="108" spans="1:6" ht="15" customHeight="1" x14ac:dyDescent="0.2">
      <c r="A108" s="129">
        <v>2106</v>
      </c>
      <c r="B108" s="39" t="s">
        <v>168</v>
      </c>
      <c r="C108" s="121">
        <f>[10]BS17A!D1833</f>
        <v>0</v>
      </c>
      <c r="D108" s="122">
        <f>[10]BS17A!F1833</f>
        <v>0</v>
      </c>
      <c r="E108" s="123">
        <f>[10]BS17A!G1833</f>
        <v>0</v>
      </c>
      <c r="F108" s="124">
        <f>+[10]BS17A!V1833</f>
        <v>0</v>
      </c>
    </row>
    <row r="109" spans="1:6" ht="15" customHeight="1" x14ac:dyDescent="0.2">
      <c r="A109" s="130"/>
      <c r="B109" s="131" t="s">
        <v>169</v>
      </c>
      <c r="C109" s="132">
        <f>SUM(C90:C108)-C103</f>
        <v>650</v>
      </c>
      <c r="D109" s="133">
        <f>SUM(D90:D108)-D103</f>
        <v>34</v>
      </c>
      <c r="E109" s="134">
        <f>+SUM(E90:E103)+E107+E108</f>
        <v>0</v>
      </c>
      <c r="F109" s="135">
        <f>+SUM(F90:F103)+F107+F108</f>
        <v>111124295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256" t="s">
        <v>170</v>
      </c>
      <c r="B112" s="252"/>
      <c r="C112" s="252"/>
      <c r="D112" s="252"/>
      <c r="E112" s="253"/>
      <c r="F112" s="5"/>
    </row>
    <row r="113" spans="1:6" ht="38.25" x14ac:dyDescent="0.2">
      <c r="A113" s="11" t="s">
        <v>8</v>
      </c>
      <c r="B113" s="11" t="s">
        <v>9</v>
      </c>
      <c r="C113" s="12" t="s">
        <v>10</v>
      </c>
      <c r="D113" s="13" t="s">
        <v>11</v>
      </c>
      <c r="E113" s="1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19">
        <f>+[10]BS17A!D1624</f>
        <v>87</v>
      </c>
      <c r="D114" s="136">
        <f>+[10]BS17A!U1624</f>
        <v>118340</v>
      </c>
      <c r="E114" s="137">
        <f>+[10]BS17A!V1624</f>
        <v>10295580</v>
      </c>
      <c r="F114" s="8"/>
    </row>
    <row r="115" spans="1:6" ht="15" customHeight="1" x14ac:dyDescent="0.2">
      <c r="A115" s="29" t="s">
        <v>173</v>
      </c>
      <c r="B115" s="138" t="s">
        <v>174</v>
      </c>
      <c r="C115" s="66">
        <f>+[10]BS17A!D1625</f>
        <v>3</v>
      </c>
      <c r="D115" s="139">
        <f>+[10]BS17A!U1625</f>
        <v>124520</v>
      </c>
      <c r="E115" s="106">
        <f>+[10]BS17A!V1625</f>
        <v>373560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90</v>
      </c>
      <c r="D116" s="57"/>
      <c r="E116" s="107">
        <f>SUM(E114:E115)</f>
        <v>10669140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262" t="s">
        <v>176</v>
      </c>
      <c r="B119" s="262"/>
      <c r="C119" s="262"/>
      <c r="D119" s="8"/>
      <c r="E119" s="8"/>
      <c r="F119" s="5"/>
    </row>
    <row r="120" spans="1:6" ht="28.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+[10]BS17A!V1859+[10]BS17A!V1876+[10]BS17A!V1895</f>
        <v>11024540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256" t="s">
        <v>179</v>
      </c>
      <c r="B124" s="252"/>
      <c r="C124" s="252"/>
      <c r="D124" s="252"/>
      <c r="E124" s="253"/>
      <c r="F124" s="5"/>
    </row>
    <row r="125" spans="1:6" ht="38.25" x14ac:dyDescent="0.2">
      <c r="A125" s="11" t="s">
        <v>8</v>
      </c>
      <c r="B125" s="11" t="s">
        <v>9</v>
      </c>
      <c r="C125" s="12" t="s">
        <v>10</v>
      </c>
      <c r="D125" s="13" t="s">
        <v>11</v>
      </c>
      <c r="E125" s="1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19">
        <f>+[10]BS17A!$D59</f>
        <v>5007</v>
      </c>
      <c r="D126" s="37">
        <f>+[10]BS17A!$U59</f>
        <v>30310</v>
      </c>
      <c r="E126" s="145">
        <f>+[10]BS17A!$V59</f>
        <v>151762170</v>
      </c>
      <c r="F126" s="8"/>
    </row>
    <row r="127" spans="1:6" ht="15" customHeight="1" x14ac:dyDescent="0.2">
      <c r="A127" s="22" t="s">
        <v>182</v>
      </c>
      <c r="B127" s="23" t="s">
        <v>183</v>
      </c>
      <c r="C127" s="24">
        <f>+[10]BS17A!$D60</f>
        <v>0</v>
      </c>
      <c r="D127" s="25">
        <f>+[10]BS17A!$U60</f>
        <v>27900</v>
      </c>
      <c r="E127" s="146">
        <f>+[10]BS17A!$V60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24">
        <f>+[10]BS17A!$D61</f>
        <v>0</v>
      </c>
      <c r="D128" s="25">
        <f>+[10]BS17A!$U61</f>
        <v>23260</v>
      </c>
      <c r="E128" s="146">
        <f>+[10]BS17A!$V61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24">
        <f>SUM([10]BS17A!D62:D64)</f>
        <v>0</v>
      </c>
      <c r="D129" s="25">
        <f>+[10]BS17A!$U62</f>
        <v>126000</v>
      </c>
      <c r="E129" s="146">
        <f>SUM([10]BS17A!V62:V64)</f>
        <v>0</v>
      </c>
      <c r="F129" s="8"/>
    </row>
    <row r="130" spans="1:6" ht="15" customHeight="1" x14ac:dyDescent="0.2">
      <c r="A130" s="22" t="s">
        <v>188</v>
      </c>
      <c r="B130" s="23" t="s">
        <v>189</v>
      </c>
      <c r="C130" s="24">
        <f>SUM([10]BS17A!D65:D67)</f>
        <v>282</v>
      </c>
      <c r="D130" s="25">
        <f>+[10]BS17A!$U65</f>
        <v>60860</v>
      </c>
      <c r="E130" s="146">
        <f>SUM([10]BS17A!V65:V67)</f>
        <v>17162520</v>
      </c>
      <c r="F130" s="8"/>
    </row>
    <row r="131" spans="1:6" ht="15" customHeight="1" x14ac:dyDescent="0.2">
      <c r="A131" s="22" t="s">
        <v>190</v>
      </c>
      <c r="B131" s="23" t="s">
        <v>191</v>
      </c>
      <c r="C131" s="24">
        <f>+[10]BS17A!D68</f>
        <v>107</v>
      </c>
      <c r="D131" s="25">
        <f>+[10]BS17A!$U68</f>
        <v>54600</v>
      </c>
      <c r="E131" s="146">
        <f>+[10]BS17A!$V68</f>
        <v>5842200</v>
      </c>
      <c r="F131" s="8"/>
    </row>
    <row r="132" spans="1:6" ht="15" customHeight="1" x14ac:dyDescent="0.2">
      <c r="A132" s="22" t="s">
        <v>192</v>
      </c>
      <c r="B132" s="23" t="s">
        <v>193</v>
      </c>
      <c r="C132" s="24">
        <f>+[10]BS17A!$D69</f>
        <v>0</v>
      </c>
      <c r="D132" s="25">
        <f>+[10]BS17A!$U69</f>
        <v>15500</v>
      </c>
      <c r="E132" s="146">
        <f>+[10]BS17A!$V69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24">
        <f>+[10]BS17A!$D70</f>
        <v>0</v>
      </c>
      <c r="D133" s="25">
        <f>+[10]BS17A!$U70</f>
        <v>24280</v>
      </c>
      <c r="E133" s="146">
        <f>+[10]BS17A!$V70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24">
        <f>+[10]BS17A!$D73</f>
        <v>0</v>
      </c>
      <c r="D134" s="25">
        <f>+[10]BS17A!$U73</f>
        <v>24470</v>
      </c>
      <c r="E134" s="146">
        <f>+[10]BS17A!$V73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24">
        <f>+[10]BS17A!$D71</f>
        <v>0</v>
      </c>
      <c r="D135" s="25">
        <f>+[10]BS17A!$U71</f>
        <v>25270</v>
      </c>
      <c r="E135" s="146">
        <f>+[10]BS17A!$V71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24">
        <f>+[10]BS17A!$D76</f>
        <v>0</v>
      </c>
      <c r="D136" s="25">
        <f>+[10]BS17A!$U76</f>
        <v>30310</v>
      </c>
      <c r="E136" s="146">
        <f>+[10]BS17A!$V76</f>
        <v>0</v>
      </c>
      <c r="F136" s="8"/>
    </row>
    <row r="137" spans="1:6" ht="15" customHeight="1" x14ac:dyDescent="0.2">
      <c r="A137" s="22" t="s">
        <v>202</v>
      </c>
      <c r="B137" s="28" t="s">
        <v>203</v>
      </c>
      <c r="C137" s="24">
        <f>+[10]BS17A!$D79</f>
        <v>46</v>
      </c>
      <c r="D137" s="25">
        <f>+[10]BS17A!$U79</f>
        <v>5880</v>
      </c>
      <c r="E137" s="146">
        <f>+[10]BS17A!$V79</f>
        <v>270480</v>
      </c>
      <c r="F137" s="8"/>
    </row>
    <row r="138" spans="1:6" ht="15" customHeight="1" x14ac:dyDescent="0.2">
      <c r="A138" s="22" t="s">
        <v>204</v>
      </c>
      <c r="B138" s="28" t="s">
        <v>205</v>
      </c>
      <c r="C138" s="24">
        <f>+[10]BS17A!$D80</f>
        <v>0</v>
      </c>
      <c r="D138" s="25">
        <f>+[10]BS17A!$U80</f>
        <v>42470</v>
      </c>
      <c r="E138" s="146">
        <f>+[10]BS17A!$V80</f>
        <v>0</v>
      </c>
      <c r="F138" s="8"/>
    </row>
    <row r="139" spans="1:6" ht="15" customHeight="1" x14ac:dyDescent="0.2">
      <c r="A139" s="29"/>
      <c r="B139" s="147" t="s">
        <v>206</v>
      </c>
      <c r="C139" s="148">
        <f>SUM(C126:C138)</f>
        <v>5442</v>
      </c>
      <c r="D139" s="149"/>
      <c r="E139" s="150">
        <f>SUM(E126:E138)</f>
        <v>175037370</v>
      </c>
      <c r="F139" s="8"/>
    </row>
    <row r="140" spans="1:6" ht="15" customHeight="1" x14ac:dyDescent="0.2">
      <c r="A140" s="17"/>
      <c r="B140" s="81" t="s">
        <v>207</v>
      </c>
      <c r="C140" s="19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24">
        <f>+[10]BS17A!$D72</f>
        <v>0</v>
      </c>
      <c r="D141" s="25">
        <f>+[10]BS17A!$U72</f>
        <v>10190</v>
      </c>
      <c r="E141" s="146">
        <f>+[10]BS17A!$V72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24">
        <f>+[10]BS17A!$D74</f>
        <v>0</v>
      </c>
      <c r="D142" s="25">
        <f>+[10]BS17A!$U74</f>
        <v>10190</v>
      </c>
      <c r="E142" s="146">
        <f>+[10]BS17A!$V74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24">
        <f>+[10]BS17A!$D75</f>
        <v>8</v>
      </c>
      <c r="D143" s="25">
        <f>+[10]BS17A!$U75</f>
        <v>4490</v>
      </c>
      <c r="E143" s="146">
        <f>+[10]BS17A!$V75</f>
        <v>35920</v>
      </c>
      <c r="F143" s="8"/>
    </row>
    <row r="144" spans="1:6" ht="15" customHeight="1" x14ac:dyDescent="0.2">
      <c r="A144" s="22" t="s">
        <v>214</v>
      </c>
      <c r="B144" s="23" t="s">
        <v>215</v>
      </c>
      <c r="C144" s="24">
        <f>+[10]BS17A!$D77</f>
        <v>0</v>
      </c>
      <c r="D144" s="25">
        <f>+[10]BS17A!$U77</f>
        <v>81940</v>
      </c>
      <c r="E144" s="146">
        <f>+[10]BS17A!$V77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24">
        <f>+[10]BS17A!$D78</f>
        <v>0</v>
      </c>
      <c r="D145" s="25">
        <f>+[10]BS17A!$U78</f>
        <v>9670</v>
      </c>
      <c r="E145" s="146">
        <f>+[10]BS17A!$V78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24">
        <f>+[10]BS17A!$D81</f>
        <v>0</v>
      </c>
      <c r="D146" s="25">
        <f>+[10]BS17A!$U81</f>
        <v>7450</v>
      </c>
      <c r="E146" s="146">
        <f>+[10]BS17A!$V81</f>
        <v>0</v>
      </c>
      <c r="F146" s="8"/>
    </row>
    <row r="147" spans="1:6" ht="15" customHeight="1" x14ac:dyDescent="0.2">
      <c r="A147" s="29"/>
      <c r="B147" s="147" t="s">
        <v>220</v>
      </c>
      <c r="C147" s="148">
        <f>SUM(C141:C146)</f>
        <v>8</v>
      </c>
      <c r="D147" s="149"/>
      <c r="E147" s="150">
        <f>SUM(E141:E146)</f>
        <v>35920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5450</v>
      </c>
      <c r="D148" s="151"/>
      <c r="E148" s="152">
        <f>+E139+E147</f>
        <v>175073290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239" t="s">
        <v>222</v>
      </c>
      <c r="B151" s="240"/>
      <c r="C151" s="240"/>
      <c r="D151" s="240"/>
      <c r="E151" s="241"/>
      <c r="F151" s="5"/>
    </row>
    <row r="152" spans="1:6" ht="36" customHeight="1" x14ac:dyDescent="0.2">
      <c r="A152" s="11" t="s">
        <v>8</v>
      </c>
      <c r="B152" s="11" t="s">
        <v>9</v>
      </c>
      <c r="C152" s="12" t="s">
        <v>10</v>
      </c>
      <c r="D152" s="13" t="s">
        <v>11</v>
      </c>
      <c r="E152" s="1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19">
        <f>+[10]BS17A!D43</f>
        <v>3083</v>
      </c>
      <c r="D153" s="37">
        <f>[10]BS17A!U43</f>
        <v>700</v>
      </c>
      <c r="E153" s="145">
        <f>+[10]BS17A!V43</f>
        <v>2158100</v>
      </c>
      <c r="F153" s="8"/>
    </row>
    <row r="154" spans="1:6" ht="15" customHeight="1" x14ac:dyDescent="0.2">
      <c r="A154" s="29" t="s">
        <v>225</v>
      </c>
      <c r="B154" s="43" t="s">
        <v>226</v>
      </c>
      <c r="C154" s="31">
        <f>+[10]BS17A!D44+[10]BS17A!D45</f>
        <v>0</v>
      </c>
      <c r="D154" s="40">
        <f>[10]BS17A!U44</f>
        <v>100</v>
      </c>
      <c r="E154" s="153">
        <f>+[10]BS17A!V44+[10]BS17A!V45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3083</v>
      </c>
      <c r="D155" s="151"/>
      <c r="E155" s="152">
        <f>SUM(E153:E154)</f>
        <v>2158100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239" t="s">
        <v>228</v>
      </c>
      <c r="B158" s="240"/>
      <c r="C158" s="240"/>
      <c r="D158" s="240"/>
      <c r="E158" s="241"/>
      <c r="F158" s="5"/>
    </row>
    <row r="159" spans="1:6" ht="47.25" customHeight="1" x14ac:dyDescent="0.2">
      <c r="A159" s="11" t="s">
        <v>8</v>
      </c>
      <c r="B159" s="11" t="s">
        <v>9</v>
      </c>
      <c r="C159" s="12" t="s">
        <v>10</v>
      </c>
      <c r="D159" s="13" t="s">
        <v>11</v>
      </c>
      <c r="E159" s="1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+[10]BS17A!$D1470</f>
        <v>0</v>
      </c>
      <c r="D160" s="37">
        <f>+[10]BS17A!$U1470</f>
        <v>38160</v>
      </c>
      <c r="E160" s="145">
        <f>+[10]BS17A!$V1470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+[10]BS17A!$D1471</f>
        <v>0</v>
      </c>
      <c r="D161" s="25">
        <f>+[10]BS17A!$U1471</f>
        <v>24000</v>
      </c>
      <c r="E161" s="146">
        <f>+[10]BS17A!$V1471</f>
        <v>0</v>
      </c>
      <c r="F161" s="8"/>
    </row>
    <row r="162" spans="1:6" ht="15" customHeight="1" x14ac:dyDescent="0.2">
      <c r="A162" s="22" t="s">
        <v>233</v>
      </c>
      <c r="B162" s="28" t="s">
        <v>234</v>
      </c>
      <c r="C162" s="155">
        <f>+[10]BS17A!$D1472</f>
        <v>0</v>
      </c>
      <c r="D162" s="25">
        <f>+[10]BS17A!$U1472</f>
        <v>24000</v>
      </c>
      <c r="E162" s="146">
        <f>+[10]BS17A!$V1472</f>
        <v>0</v>
      </c>
      <c r="F162" s="8"/>
    </row>
    <row r="163" spans="1:6" ht="15" customHeight="1" x14ac:dyDescent="0.2">
      <c r="A163" s="22" t="s">
        <v>235</v>
      </c>
      <c r="B163" s="156" t="s">
        <v>236</v>
      </c>
      <c r="C163" s="155">
        <f>+[10]BS17A!$D1473</f>
        <v>0</v>
      </c>
      <c r="D163" s="25">
        <f>+[10]BS17A!$U1473</f>
        <v>726900</v>
      </c>
      <c r="E163" s="146">
        <f>+[10]BS17A!$V1473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+[10]BS17A!$D1474</f>
        <v>0</v>
      </c>
      <c r="D164" s="25">
        <f>+[10]BS17A!$U1474</f>
        <v>515080</v>
      </c>
      <c r="E164" s="146">
        <f>+[10]BS17A!$V1474</f>
        <v>0</v>
      </c>
      <c r="F164" s="8"/>
    </row>
    <row r="165" spans="1:6" ht="15" customHeight="1" x14ac:dyDescent="0.2">
      <c r="A165" s="65" t="s">
        <v>239</v>
      </c>
      <c r="B165" s="138" t="s">
        <v>240</v>
      </c>
      <c r="C165" s="155">
        <f>+[10]BS17A!$D1475</f>
        <v>0</v>
      </c>
      <c r="D165" s="25">
        <f>+[10]BS17A!$U1475</f>
        <v>43850</v>
      </c>
      <c r="E165" s="146">
        <f>+[10]BS17A!$V1475</f>
        <v>0</v>
      </c>
      <c r="F165" s="8"/>
    </row>
    <row r="166" spans="1:6" ht="15" customHeight="1" x14ac:dyDescent="0.2">
      <c r="A166" s="129">
        <v>1901029</v>
      </c>
      <c r="B166" s="157" t="s">
        <v>241</v>
      </c>
      <c r="C166" s="158">
        <f>+[10]BS17A!$D1476</f>
        <v>0</v>
      </c>
      <c r="D166" s="40">
        <f>+[10]BS17A!$U1476</f>
        <v>591930</v>
      </c>
      <c r="E166" s="153">
        <f>+[10]BS17A!$V1476</f>
        <v>0</v>
      </c>
      <c r="F166" s="8"/>
    </row>
    <row r="167" spans="1:6" ht="15" customHeight="1" x14ac:dyDescent="0.2">
      <c r="A167" s="159"/>
      <c r="B167" s="160" t="s">
        <v>242</v>
      </c>
      <c r="C167" s="161">
        <f>SUM(C160:C166)</f>
        <v>0</v>
      </c>
      <c r="D167" s="162"/>
      <c r="E167" s="163">
        <f>SUM(E160:E166)</f>
        <v>0</v>
      </c>
      <c r="F167" s="8"/>
    </row>
    <row r="168" spans="1:6" ht="12.75" x14ac:dyDescent="0.2">
      <c r="A168" s="8"/>
      <c r="B168" s="8"/>
      <c r="C168" s="8"/>
      <c r="D168" s="8"/>
      <c r="E168" s="8"/>
      <c r="F168" s="8"/>
    </row>
    <row r="169" spans="1:6" ht="18" customHeight="1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256" t="s">
        <v>243</v>
      </c>
      <c r="B170" s="252"/>
      <c r="C170" s="252"/>
      <c r="D170" s="252"/>
      <c r="E170" s="253"/>
      <c r="F170" s="5"/>
    </row>
    <row r="171" spans="1:6" ht="35.25" customHeight="1" x14ac:dyDescent="0.2">
      <c r="A171" s="11" t="s">
        <v>8</v>
      </c>
      <c r="B171" s="11" t="s">
        <v>9</v>
      </c>
      <c r="C171" s="12" t="s">
        <v>10</v>
      </c>
      <c r="D171" s="13" t="s">
        <v>11</v>
      </c>
      <c r="E171" s="14" t="s">
        <v>12</v>
      </c>
      <c r="F171" s="8"/>
    </row>
    <row r="172" spans="1:6" ht="12.75" customHeight="1" x14ac:dyDescent="0.2">
      <c r="A172" s="164">
        <v>1101004</v>
      </c>
      <c r="B172" s="165" t="s">
        <v>244</v>
      </c>
      <c r="C172" s="19">
        <f>+[10]BS17A!$D801</f>
        <v>0</v>
      </c>
      <c r="D172" s="37">
        <f>+[10]BS17A!$U801</f>
        <v>13080</v>
      </c>
      <c r="E172" s="145">
        <f>+[10]BS17A!$V801</f>
        <v>0</v>
      </c>
      <c r="F172" s="8"/>
    </row>
    <row r="173" spans="1:6" ht="12.75" customHeight="1" x14ac:dyDescent="0.2">
      <c r="A173" s="104">
        <v>1101006</v>
      </c>
      <c r="B173" s="166" t="s">
        <v>245</v>
      </c>
      <c r="C173" s="24">
        <f>+[10]BS17A!$D802</f>
        <v>9</v>
      </c>
      <c r="D173" s="25">
        <f>+[10]BS17A!$U802</f>
        <v>10470</v>
      </c>
      <c r="E173" s="146">
        <f>+[10]BS17A!$V802</f>
        <v>94230</v>
      </c>
      <c r="F173" s="8"/>
    </row>
    <row r="174" spans="1:6" ht="24.75" customHeight="1" x14ac:dyDescent="0.2">
      <c r="A174" s="104" t="s">
        <v>246</v>
      </c>
      <c r="B174" s="167" t="s">
        <v>247</v>
      </c>
      <c r="C174" s="24">
        <f>+[10]BS17A!$D1186</f>
        <v>683</v>
      </c>
      <c r="D174" s="25">
        <f>+[10]BS17A!$U1186</f>
        <v>4480</v>
      </c>
      <c r="E174" s="146">
        <f>+[10]BS17A!$V1186</f>
        <v>3059840</v>
      </c>
      <c r="F174" s="8"/>
    </row>
    <row r="175" spans="1:6" ht="24.75" customHeight="1" x14ac:dyDescent="0.2">
      <c r="A175" s="104" t="s">
        <v>248</v>
      </c>
      <c r="B175" s="167" t="s">
        <v>249</v>
      </c>
      <c r="C175" s="24">
        <f>+[10]BS17A!$D1187</f>
        <v>9</v>
      </c>
      <c r="D175" s="25">
        <f>+[10]BS17A!$U1187</f>
        <v>12640</v>
      </c>
      <c r="E175" s="146">
        <f>+[10]BS17A!$V1187</f>
        <v>113760</v>
      </c>
      <c r="F175" s="8"/>
    </row>
    <row r="176" spans="1:6" ht="24.75" customHeight="1" x14ac:dyDescent="0.2">
      <c r="A176" s="104" t="s">
        <v>250</v>
      </c>
      <c r="B176" s="167" t="s">
        <v>251</v>
      </c>
      <c r="C176" s="24">
        <f>+[10]BS17A!$D1188</f>
        <v>11</v>
      </c>
      <c r="D176" s="25">
        <f>+[10]BS17A!$U1188</f>
        <v>21430</v>
      </c>
      <c r="E176" s="146">
        <f>+[10]BS17A!$V1188</f>
        <v>235730</v>
      </c>
      <c r="F176" s="8"/>
    </row>
    <row r="177" spans="1:6" ht="12.75" customHeight="1" x14ac:dyDescent="0.2">
      <c r="A177" s="104" t="s">
        <v>252</v>
      </c>
      <c r="B177" s="167" t="s">
        <v>253</v>
      </c>
      <c r="C177" s="24">
        <f>+[10]BS17A!$D1189</f>
        <v>0</v>
      </c>
      <c r="D177" s="25">
        <f>+[10]BS17A!$U1189</f>
        <v>40910</v>
      </c>
      <c r="E177" s="146">
        <f>+[10]BS17A!$V1189</f>
        <v>0</v>
      </c>
      <c r="F177" s="8"/>
    </row>
    <row r="178" spans="1:6" ht="12.75" customHeight="1" x14ac:dyDescent="0.2">
      <c r="A178" s="104" t="s">
        <v>254</v>
      </c>
      <c r="B178" s="167" t="s">
        <v>255</v>
      </c>
      <c r="C178" s="24">
        <f>+[10]BS17A!$D1190</f>
        <v>66</v>
      </c>
      <c r="D178" s="25">
        <f>+[10]BS17A!$U1190</f>
        <v>45600</v>
      </c>
      <c r="E178" s="146">
        <f>+[10]BS17A!$V1190</f>
        <v>3009600</v>
      </c>
      <c r="F178" s="8"/>
    </row>
    <row r="179" spans="1:6" ht="24.75" customHeight="1" x14ac:dyDescent="0.2">
      <c r="A179" s="104" t="s">
        <v>256</v>
      </c>
      <c r="B179" s="167" t="s">
        <v>257</v>
      </c>
      <c r="C179" s="24">
        <f>+[10]BS17A!$D1191</f>
        <v>0</v>
      </c>
      <c r="D179" s="25">
        <f>+[10]BS17A!$U1191</f>
        <v>25580</v>
      </c>
      <c r="E179" s="146">
        <f>+[10]BS17A!$V1191</f>
        <v>0</v>
      </c>
      <c r="F179" s="8"/>
    </row>
    <row r="180" spans="1:6" ht="12.75" customHeight="1" x14ac:dyDescent="0.2">
      <c r="A180" s="104" t="s">
        <v>258</v>
      </c>
      <c r="B180" s="156" t="s">
        <v>259</v>
      </c>
      <c r="C180" s="24">
        <f>+[10]BS17A!$D1192</f>
        <v>0</v>
      </c>
      <c r="D180" s="25">
        <f>+[10]BS17A!$U1192</f>
        <v>197910</v>
      </c>
      <c r="E180" s="146">
        <f>+[10]BS17A!$V1192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24">
        <f>+[10]BS17A!$D1193</f>
        <v>0</v>
      </c>
      <c r="D181" s="25">
        <f>+[10]BS17A!$U1193</f>
        <v>224990</v>
      </c>
      <c r="E181" s="146">
        <f>+[10]BS17A!$V1193</f>
        <v>0</v>
      </c>
      <c r="F181" s="8"/>
    </row>
    <row r="182" spans="1:6" ht="12.75" customHeight="1" x14ac:dyDescent="0.2">
      <c r="A182" s="104" t="s">
        <v>262</v>
      </c>
      <c r="B182" s="167" t="s">
        <v>263</v>
      </c>
      <c r="C182" s="24">
        <f>+[10]BS17A!$D1194</f>
        <v>0</v>
      </c>
      <c r="D182" s="25">
        <f>+[10]BS17A!$U1194</f>
        <v>183470</v>
      </c>
      <c r="E182" s="146">
        <f>+[10]BS17A!$V1194</f>
        <v>0</v>
      </c>
      <c r="F182" s="8"/>
    </row>
    <row r="183" spans="1:6" ht="24.75" customHeight="1" x14ac:dyDescent="0.2">
      <c r="A183" s="104" t="s">
        <v>264</v>
      </c>
      <c r="B183" s="156" t="s">
        <v>265</v>
      </c>
      <c r="C183" s="24">
        <f>+[10]BS17A!$D1195</f>
        <v>0</v>
      </c>
      <c r="D183" s="25">
        <f>+[10]BS17A!$U1195</f>
        <v>235660</v>
      </c>
      <c r="E183" s="146">
        <f>+[10]BS17A!$V1195</f>
        <v>0</v>
      </c>
      <c r="F183" s="8"/>
    </row>
    <row r="184" spans="1:6" ht="24.75" customHeight="1" x14ac:dyDescent="0.2">
      <c r="A184" s="104" t="s">
        <v>266</v>
      </c>
      <c r="B184" s="156" t="s">
        <v>267</v>
      </c>
      <c r="C184" s="24">
        <f>+[10]BS17A!$D1196</f>
        <v>0</v>
      </c>
      <c r="D184" s="25">
        <f>+[10]BS17A!$U1196</f>
        <v>241140</v>
      </c>
      <c r="E184" s="146">
        <f>+[10]BS17A!$V1196</f>
        <v>0</v>
      </c>
      <c r="F184" s="8"/>
    </row>
    <row r="185" spans="1:6" ht="24.75" customHeight="1" x14ac:dyDescent="0.2">
      <c r="A185" s="104" t="s">
        <v>268</v>
      </c>
      <c r="B185" s="156" t="s">
        <v>269</v>
      </c>
      <c r="C185" s="24">
        <f>+[10]BS17A!$D1197</f>
        <v>0</v>
      </c>
      <c r="D185" s="25">
        <f>+[10]BS17A!$U1197</f>
        <v>203920</v>
      </c>
      <c r="E185" s="146">
        <f>+[10]BS17A!$V1197</f>
        <v>0</v>
      </c>
      <c r="F185" s="8"/>
    </row>
    <row r="186" spans="1:6" ht="12.75" customHeight="1" x14ac:dyDescent="0.2">
      <c r="A186" s="104" t="s">
        <v>270</v>
      </c>
      <c r="B186" s="156" t="s">
        <v>271</v>
      </c>
      <c r="C186" s="24">
        <f>+[10]BS17A!$D1198</f>
        <v>0</v>
      </c>
      <c r="D186" s="25">
        <f>+[10]BS17A!$U1198</f>
        <v>217670</v>
      </c>
      <c r="E186" s="146">
        <f>+[10]BS17A!$V1198</f>
        <v>0</v>
      </c>
      <c r="F186" s="8"/>
    </row>
    <row r="187" spans="1:6" ht="12.75" customHeight="1" x14ac:dyDescent="0.2">
      <c r="A187" s="104" t="s">
        <v>272</v>
      </c>
      <c r="B187" s="156" t="s">
        <v>273</v>
      </c>
      <c r="C187" s="24">
        <f>+[10]BS17A!$D1199</f>
        <v>0</v>
      </c>
      <c r="D187" s="25">
        <f>+[10]BS17A!$U1199</f>
        <v>260270</v>
      </c>
      <c r="E187" s="146">
        <f>+[10]BS17A!$V1199</f>
        <v>0</v>
      </c>
      <c r="F187" s="8"/>
    </row>
    <row r="188" spans="1:6" ht="24.75" customHeight="1" x14ac:dyDescent="0.2">
      <c r="A188" s="104" t="s">
        <v>274</v>
      </c>
      <c r="B188" s="167" t="s">
        <v>275</v>
      </c>
      <c r="C188" s="24">
        <f>+[10]BS17A!$D1200</f>
        <v>0</v>
      </c>
      <c r="D188" s="25">
        <f>+[10]BS17A!$U1200</f>
        <v>230810</v>
      </c>
      <c r="E188" s="146">
        <f>+[10]BS17A!$V1200</f>
        <v>0</v>
      </c>
      <c r="F188" s="8"/>
    </row>
    <row r="189" spans="1:6" ht="24.75" customHeight="1" x14ac:dyDescent="0.2">
      <c r="A189" s="104" t="s">
        <v>276</v>
      </c>
      <c r="B189" s="156" t="s">
        <v>277</v>
      </c>
      <c r="C189" s="24">
        <f>+[10]BS17A!$D1201</f>
        <v>0</v>
      </c>
      <c r="D189" s="25">
        <f>+[10]BS17A!$U1201</f>
        <v>1689070</v>
      </c>
      <c r="E189" s="146">
        <f>+[10]BS17A!$V1201</f>
        <v>0</v>
      </c>
      <c r="F189" s="8"/>
    </row>
    <row r="190" spans="1:6" ht="12.75" customHeight="1" x14ac:dyDescent="0.2">
      <c r="A190" s="104" t="s">
        <v>278</v>
      </c>
      <c r="B190" s="156" t="s">
        <v>279</v>
      </c>
      <c r="C190" s="24">
        <f>+[10]BS17A!$D1202</f>
        <v>0</v>
      </c>
      <c r="D190" s="25">
        <f>+[10]BS17A!$U1202</f>
        <v>1054990</v>
      </c>
      <c r="E190" s="146">
        <f>+[10]BS17A!$V1202</f>
        <v>0</v>
      </c>
      <c r="F190" s="8"/>
    </row>
    <row r="191" spans="1:6" ht="12.75" customHeight="1" x14ac:dyDescent="0.2">
      <c r="A191" s="22" t="s">
        <v>280</v>
      </c>
      <c r="B191" s="156" t="s">
        <v>281</v>
      </c>
      <c r="C191" s="24">
        <f>+[10]BS17A!$D1203</f>
        <v>0</v>
      </c>
      <c r="D191" s="25">
        <f>+[10]BS17A!$U1203</f>
        <v>1021110</v>
      </c>
      <c r="E191" s="146">
        <f>+[10]BS17A!$V1203</f>
        <v>0</v>
      </c>
      <c r="F191" s="8"/>
    </row>
    <row r="192" spans="1:6" ht="24.75" customHeight="1" x14ac:dyDescent="0.2">
      <c r="A192" s="104" t="s">
        <v>282</v>
      </c>
      <c r="B192" s="156" t="s">
        <v>283</v>
      </c>
      <c r="C192" s="24">
        <f>+[10]BS17A!$D1204</f>
        <v>0</v>
      </c>
      <c r="D192" s="25">
        <f>+[10]BS17A!$U1204</f>
        <v>1069740</v>
      </c>
      <c r="E192" s="146">
        <f>+[10]BS17A!$V1204</f>
        <v>0</v>
      </c>
      <c r="F192" s="8"/>
    </row>
    <row r="193" spans="1:6" ht="12.75" customHeight="1" x14ac:dyDescent="0.2">
      <c r="A193" s="22" t="s">
        <v>284</v>
      </c>
      <c r="B193" s="156" t="s">
        <v>285</v>
      </c>
      <c r="C193" s="24">
        <f>+[10]BS17A!$D1205</f>
        <v>0</v>
      </c>
      <c r="D193" s="25">
        <f>+[10]BS17A!$U1205</f>
        <v>151380</v>
      </c>
      <c r="E193" s="146">
        <f>+[10]BS17A!$V1205</f>
        <v>0</v>
      </c>
      <c r="F193" s="8"/>
    </row>
    <row r="194" spans="1:6" ht="12.75" customHeight="1" x14ac:dyDescent="0.2">
      <c r="A194" s="22" t="s">
        <v>286</v>
      </c>
      <c r="B194" s="156" t="s">
        <v>287</v>
      </c>
      <c r="C194" s="24">
        <f>+[10]BS17A!$D1206</f>
        <v>0</v>
      </c>
      <c r="D194" s="25">
        <f>+[10]BS17A!$U1206</f>
        <v>345440</v>
      </c>
      <c r="E194" s="146">
        <f>+[10]BS17A!$V1206</f>
        <v>0</v>
      </c>
      <c r="F194" s="8"/>
    </row>
    <row r="195" spans="1:6" ht="12.75" customHeight="1" x14ac:dyDescent="0.2">
      <c r="A195" s="104" t="s">
        <v>288</v>
      </c>
      <c r="B195" s="156" t="s">
        <v>289</v>
      </c>
      <c r="C195" s="24">
        <f>+[10]BS17A!$D1207</f>
        <v>0</v>
      </c>
      <c r="D195" s="25">
        <f>+[10]BS17A!$U1207</f>
        <v>128060</v>
      </c>
      <c r="E195" s="146">
        <f>+[10]BS17A!$V1207</f>
        <v>0</v>
      </c>
      <c r="F195" s="8"/>
    </row>
    <row r="196" spans="1:6" ht="12.75" customHeight="1" x14ac:dyDescent="0.2">
      <c r="A196" s="104" t="s">
        <v>290</v>
      </c>
      <c r="B196" s="156" t="s">
        <v>291</v>
      </c>
      <c r="C196" s="24">
        <f>+[10]BS17A!$D1208</f>
        <v>0</v>
      </c>
      <c r="D196" s="25">
        <f>+[10]BS17A!$U1208</f>
        <v>1037610</v>
      </c>
      <c r="E196" s="146">
        <f>+[10]BS17A!$V1208</f>
        <v>0</v>
      </c>
      <c r="F196" s="8"/>
    </row>
    <row r="197" spans="1:6" ht="12.75" customHeight="1" x14ac:dyDescent="0.2">
      <c r="A197" s="104" t="s">
        <v>292</v>
      </c>
      <c r="B197" s="156" t="s">
        <v>293</v>
      </c>
      <c r="C197" s="24">
        <f>+[10]BS17A!$D1209</f>
        <v>0</v>
      </c>
      <c r="D197" s="25">
        <f>+[10]BS17A!$U1209</f>
        <v>1037610</v>
      </c>
      <c r="E197" s="146">
        <f>+[10]BS17A!$V1209</f>
        <v>0</v>
      </c>
      <c r="F197" s="8"/>
    </row>
    <row r="198" spans="1:6" ht="12.75" customHeight="1" x14ac:dyDescent="0.2">
      <c r="A198" s="104">
        <v>1801001</v>
      </c>
      <c r="B198" s="166" t="s">
        <v>294</v>
      </c>
      <c r="C198" s="24">
        <f>+[10]BS17A!$D1343</f>
        <v>18</v>
      </c>
      <c r="D198" s="25">
        <f>+[10]BS17A!$U1343</f>
        <v>30950</v>
      </c>
      <c r="E198" s="146">
        <f>+[10]BS17A!$V1343</f>
        <v>557100</v>
      </c>
      <c r="F198" s="8"/>
    </row>
    <row r="199" spans="1:6" ht="12.75" customHeight="1" x14ac:dyDescent="0.2">
      <c r="A199" s="104">
        <v>1801003</v>
      </c>
      <c r="B199" s="156" t="s">
        <v>295</v>
      </c>
      <c r="C199" s="24">
        <f>+[10]BS17A!$D1344</f>
        <v>0</v>
      </c>
      <c r="D199" s="25">
        <f>+[10]BS17A!$U1344</f>
        <v>37330</v>
      </c>
      <c r="E199" s="146">
        <f>+[10]BS17A!$V1344</f>
        <v>0</v>
      </c>
      <c r="F199" s="8"/>
    </row>
    <row r="200" spans="1:6" ht="12.75" customHeight="1" x14ac:dyDescent="0.2">
      <c r="A200" s="104">
        <v>1801006</v>
      </c>
      <c r="B200" s="166" t="s">
        <v>296</v>
      </c>
      <c r="C200" s="24">
        <f>+[10]BS17A!$D1345</f>
        <v>2</v>
      </c>
      <c r="D200" s="25">
        <f>+[10]BS17A!$U1345</f>
        <v>39760</v>
      </c>
      <c r="E200" s="146">
        <f>+[10]BS17A!$V1345</f>
        <v>79520</v>
      </c>
      <c r="F200" s="8"/>
    </row>
    <row r="201" spans="1:6" ht="24.75" customHeight="1" x14ac:dyDescent="0.2">
      <c r="A201" s="104" t="s">
        <v>297</v>
      </c>
      <c r="B201" s="166" t="s">
        <v>298</v>
      </c>
      <c r="C201" s="24">
        <f>[10]BS17A!D1032</f>
        <v>0</v>
      </c>
      <c r="D201" s="25">
        <f>[10]BS17A!U1032</f>
        <v>8370</v>
      </c>
      <c r="E201" s="146">
        <f>[10]BS17A!V1032</f>
        <v>0</v>
      </c>
      <c r="F201" s="8"/>
    </row>
    <row r="202" spans="1:6" ht="24.75" customHeight="1" x14ac:dyDescent="0.2">
      <c r="A202" s="168" t="s">
        <v>299</v>
      </c>
      <c r="B202" s="169" t="s">
        <v>300</v>
      </c>
      <c r="C202" s="88">
        <f>[10]BS17A!D803</f>
        <v>0</v>
      </c>
      <c r="D202" s="170">
        <f>[10]BS17A!U803</f>
        <v>355150</v>
      </c>
      <c r="E202" s="171">
        <f>[10]BS17A!V803</f>
        <v>0</v>
      </c>
      <c r="F202" s="8"/>
    </row>
    <row r="203" spans="1:6" ht="17.25" customHeight="1" x14ac:dyDescent="0.2">
      <c r="A203" s="130"/>
      <c r="B203" s="131" t="s">
        <v>301</v>
      </c>
      <c r="C203" s="44">
        <f>SUM(C172:C202)</f>
        <v>798</v>
      </c>
      <c r="D203" s="151"/>
      <c r="E203" s="152">
        <f>SUM(E172:E202)</f>
        <v>7149780</v>
      </c>
      <c r="F203" s="8"/>
    </row>
    <row r="204" spans="1:6" ht="21.75" customHeight="1" x14ac:dyDescent="0.2">
      <c r="A204" s="8"/>
      <c r="B204" s="8"/>
      <c r="C204" s="8"/>
      <c r="D204" s="8"/>
      <c r="E204" s="8"/>
      <c r="F204" s="8"/>
    </row>
    <row r="205" spans="1:6" ht="19.5" customHeight="1" x14ac:dyDescent="0.2">
      <c r="A205" s="8"/>
      <c r="B205" s="8"/>
      <c r="C205" s="8"/>
      <c r="D205" s="8"/>
      <c r="E205" s="8"/>
      <c r="F205" s="8"/>
    </row>
    <row r="206" spans="1:6" ht="18" customHeight="1" x14ac:dyDescent="0.2">
      <c r="A206" s="256" t="s">
        <v>302</v>
      </c>
      <c r="B206" s="252"/>
      <c r="C206" s="252"/>
      <c r="D206" s="252"/>
      <c r="E206" s="253"/>
      <c r="F206" s="5"/>
    </row>
    <row r="207" spans="1:6" ht="39.75" customHeight="1" x14ac:dyDescent="0.2">
      <c r="A207" s="11" t="s">
        <v>8</v>
      </c>
      <c r="B207" s="11" t="s">
        <v>9</v>
      </c>
      <c r="C207" s="12" t="s">
        <v>10</v>
      </c>
      <c r="D207" s="13" t="s">
        <v>11</v>
      </c>
      <c r="E207" s="14" t="s">
        <v>12</v>
      </c>
      <c r="F207" s="5"/>
    </row>
    <row r="208" spans="1:6" ht="12.75" customHeight="1" x14ac:dyDescent="0.2">
      <c r="A208" s="17" t="s">
        <v>303</v>
      </c>
      <c r="B208" s="42" t="s">
        <v>304</v>
      </c>
      <c r="C208" s="19">
        <f>+[10]BS17A!$D18</f>
        <v>0</v>
      </c>
      <c r="D208" s="37">
        <f>+[10]BS17A!$U18</f>
        <v>12950</v>
      </c>
      <c r="E208" s="145">
        <f>+[10]BS17A!$V18</f>
        <v>0</v>
      </c>
      <c r="F208" s="8"/>
    </row>
    <row r="209" spans="1:6" ht="12.75" customHeight="1" x14ac:dyDescent="0.2">
      <c r="A209" s="22" t="s">
        <v>305</v>
      </c>
      <c r="B209" s="23" t="s">
        <v>306</v>
      </c>
      <c r="C209" s="24">
        <f>+[10]BS17A!$D19</f>
        <v>71</v>
      </c>
      <c r="D209" s="25">
        <f>+[10]BS17A!$U19</f>
        <v>12950</v>
      </c>
      <c r="E209" s="146">
        <f>+[10]BS17A!$V19</f>
        <v>919450</v>
      </c>
      <c r="F209" s="8"/>
    </row>
    <row r="210" spans="1:6" ht="12.75" customHeight="1" x14ac:dyDescent="0.2">
      <c r="A210" s="22" t="s">
        <v>307</v>
      </c>
      <c r="B210" s="28" t="s">
        <v>308</v>
      </c>
      <c r="C210" s="24">
        <f>+[10]BS17A!$D47</f>
        <v>0</v>
      </c>
      <c r="D210" s="25">
        <f>+[10]BS17A!$U47</f>
        <v>1240</v>
      </c>
      <c r="E210" s="146">
        <f>+[10]BS17A!$V47</f>
        <v>0</v>
      </c>
      <c r="F210" s="8"/>
    </row>
    <row r="211" spans="1:6" ht="12.75" customHeight="1" x14ac:dyDescent="0.2">
      <c r="A211" s="22" t="s">
        <v>309</v>
      </c>
      <c r="B211" s="28" t="s">
        <v>310</v>
      </c>
      <c r="C211" s="24">
        <f>+[10]BS17A!$D48</f>
        <v>463</v>
      </c>
      <c r="D211" s="25">
        <f>+[10]BS17A!$U48</f>
        <v>600</v>
      </c>
      <c r="E211" s="146">
        <f>+[10]BS17A!$V48</f>
        <v>277800</v>
      </c>
      <c r="F211" s="8"/>
    </row>
    <row r="212" spans="1:6" ht="12.75" customHeight="1" x14ac:dyDescent="0.2">
      <c r="A212" s="22" t="s">
        <v>311</v>
      </c>
      <c r="B212" s="23" t="s">
        <v>312</v>
      </c>
      <c r="C212" s="24">
        <f>+[10]BS17A!$D49</f>
        <v>720</v>
      </c>
      <c r="D212" s="25">
        <f>+[10]BS17A!$U49</f>
        <v>1840</v>
      </c>
      <c r="E212" s="146">
        <f>+[10]BS17A!$V49</f>
        <v>1324800</v>
      </c>
      <c r="F212" s="8"/>
    </row>
    <row r="213" spans="1:6" ht="12.75" customHeight="1" x14ac:dyDescent="0.2">
      <c r="A213" s="22" t="s">
        <v>313</v>
      </c>
      <c r="B213" s="23" t="s">
        <v>314</v>
      </c>
      <c r="C213" s="24">
        <f>+[10]BS17A!$D50</f>
        <v>43</v>
      </c>
      <c r="D213" s="25">
        <f>+[10]BS17A!$U50</f>
        <v>13790</v>
      </c>
      <c r="E213" s="146">
        <f>+[10]BS17A!$V50</f>
        <v>592970</v>
      </c>
      <c r="F213" s="8"/>
    </row>
    <row r="214" spans="1:6" ht="12.75" customHeight="1" x14ac:dyDescent="0.2">
      <c r="A214" s="22" t="s">
        <v>315</v>
      </c>
      <c r="B214" s="28" t="s">
        <v>316</v>
      </c>
      <c r="C214" s="24">
        <f>+[10]BS17A!$D51</f>
        <v>59</v>
      </c>
      <c r="D214" s="25">
        <f>+[10]BS17A!$U51</f>
        <v>31670</v>
      </c>
      <c r="E214" s="146">
        <f>+[10]BS17A!$V51</f>
        <v>1868530</v>
      </c>
      <c r="F214" s="8"/>
    </row>
    <row r="215" spans="1:6" ht="12.75" customHeight="1" x14ac:dyDescent="0.2">
      <c r="A215" s="104" t="s">
        <v>317</v>
      </c>
      <c r="B215" s="28" t="s">
        <v>318</v>
      </c>
      <c r="C215" s="24">
        <f>+[10]BS17A!D52</f>
        <v>18</v>
      </c>
      <c r="D215" s="172"/>
      <c r="E215" s="146">
        <f>+[10]BS17A!V52</f>
        <v>142200</v>
      </c>
      <c r="F215" s="8"/>
    </row>
    <row r="216" spans="1:6" ht="12.75" customHeight="1" x14ac:dyDescent="0.2">
      <c r="A216" s="29" t="s">
        <v>319</v>
      </c>
      <c r="B216" s="43" t="s">
        <v>320</v>
      </c>
      <c r="C216" s="31">
        <f>+[10]BS17A!$D1849</f>
        <v>38</v>
      </c>
      <c r="D216" s="40">
        <f>+[10]BS17A!$U1849</f>
        <v>25670</v>
      </c>
      <c r="E216" s="153">
        <f>+[10]BS17A!$V1849</f>
        <v>975460</v>
      </c>
      <c r="F216" s="8"/>
    </row>
    <row r="217" spans="1:6" ht="12.75" x14ac:dyDescent="0.2">
      <c r="A217" s="130"/>
      <c r="B217" s="131" t="s">
        <v>321</v>
      </c>
      <c r="C217" s="44">
        <f>SUM(C208:C216)</f>
        <v>1412</v>
      </c>
      <c r="D217" s="151"/>
      <c r="E217" s="171">
        <f>SUM(E208:E216)</f>
        <v>6101210</v>
      </c>
      <c r="F217" s="8"/>
    </row>
    <row r="218" spans="1:6" ht="17.25" customHeight="1" x14ac:dyDescent="0.2">
      <c r="A218" s="8"/>
      <c r="B218" s="8"/>
      <c r="C218" s="8"/>
      <c r="D218" s="8"/>
      <c r="E218" s="8"/>
      <c r="F218" s="8"/>
    </row>
    <row r="219" spans="1:6" ht="18" customHeight="1" x14ac:dyDescent="0.2">
      <c r="A219" s="8"/>
      <c r="B219" s="8"/>
      <c r="C219" s="8"/>
      <c r="D219" s="8"/>
      <c r="E219" s="8"/>
      <c r="F219" s="8"/>
    </row>
    <row r="220" spans="1:6" ht="27.75" customHeight="1" x14ac:dyDescent="0.2">
      <c r="A220" s="257" t="s">
        <v>322</v>
      </c>
      <c r="B220" s="258"/>
      <c r="C220" s="259"/>
      <c r="D220" s="8"/>
      <c r="E220" s="8"/>
      <c r="F220" s="5"/>
    </row>
    <row r="221" spans="1:6" ht="36.75" customHeight="1" x14ac:dyDescent="0.2">
      <c r="A221" s="11" t="s">
        <v>8</v>
      </c>
      <c r="B221" s="11" t="s">
        <v>10</v>
      </c>
      <c r="C221" s="11" t="s">
        <v>12</v>
      </c>
      <c r="D221" s="5"/>
      <c r="E221" s="8"/>
      <c r="F221" s="8"/>
    </row>
    <row r="222" spans="1:6" ht="15" customHeight="1" x14ac:dyDescent="0.2">
      <c r="A222" s="17" t="s">
        <v>323</v>
      </c>
      <c r="B222" s="173" t="s">
        <v>324</v>
      </c>
      <c r="C222" s="174"/>
      <c r="D222" s="175"/>
      <c r="E222" s="8"/>
      <c r="F222" s="8"/>
    </row>
    <row r="223" spans="1:6" ht="15" customHeight="1" x14ac:dyDescent="0.2">
      <c r="A223" s="176" t="s">
        <v>325</v>
      </c>
      <c r="B223" s="177" t="s">
        <v>326</v>
      </c>
      <c r="C223" s="178"/>
      <c r="D223" s="175"/>
      <c r="E223" s="8"/>
      <c r="F223" s="8"/>
    </row>
    <row r="224" spans="1:6" ht="18" customHeight="1" x14ac:dyDescent="0.2">
      <c r="A224" s="179"/>
      <c r="B224" s="180" t="s">
        <v>327</v>
      </c>
      <c r="C224" s="181">
        <f>SUM(C222:C223)</f>
        <v>0</v>
      </c>
      <c r="D224" s="175"/>
      <c r="E224" s="8"/>
      <c r="F224" s="8"/>
    </row>
    <row r="225" spans="1:7" ht="18" customHeight="1" x14ac:dyDescent="0.2">
      <c r="A225" s="8"/>
      <c r="B225" s="8"/>
      <c r="C225" s="8"/>
      <c r="D225" s="175"/>
      <c r="E225" s="175"/>
      <c r="F225" s="175"/>
    </row>
    <row r="226" spans="1:7" ht="18" customHeight="1" x14ac:dyDescent="0.2">
      <c r="A226" s="8"/>
      <c r="B226" s="8"/>
      <c r="C226" s="8"/>
      <c r="D226" s="8"/>
      <c r="E226" s="8"/>
      <c r="F226" s="175"/>
      <c r="G226" s="182"/>
    </row>
    <row r="227" spans="1:7" ht="18" customHeight="1" x14ac:dyDescent="0.2">
      <c r="A227" s="256" t="s">
        <v>328</v>
      </c>
      <c r="B227" s="252"/>
      <c r="C227" s="252"/>
      <c r="D227" s="252"/>
      <c r="E227" s="253"/>
      <c r="F227" s="175"/>
      <c r="G227" s="182"/>
    </row>
    <row r="228" spans="1:7" ht="64.5" customHeight="1" x14ac:dyDescent="0.2">
      <c r="A228" s="11" t="s">
        <v>8</v>
      </c>
      <c r="B228" s="11" t="s">
        <v>9</v>
      </c>
      <c r="C228" s="12" t="s">
        <v>10</v>
      </c>
      <c r="D228" s="13" t="s">
        <v>11</v>
      </c>
      <c r="E228" s="14" t="s">
        <v>12</v>
      </c>
      <c r="F228" s="175"/>
      <c r="G228" s="182"/>
    </row>
    <row r="229" spans="1:7" ht="15" customHeight="1" x14ac:dyDescent="0.2">
      <c r="A229" s="17" t="s">
        <v>329</v>
      </c>
      <c r="B229" s="42" t="s">
        <v>330</v>
      </c>
      <c r="C229" s="154">
        <f>+[10]BS17A!$D1920</f>
        <v>481</v>
      </c>
      <c r="D229" s="37">
        <f>+[10]BS17A!$U1920</f>
        <v>17720</v>
      </c>
      <c r="E229" s="145">
        <f>+[10]BS17A!$V1920</f>
        <v>8523320</v>
      </c>
      <c r="F229" s="8"/>
    </row>
    <row r="230" spans="1:7" ht="15" customHeight="1" x14ac:dyDescent="0.2">
      <c r="A230" s="29" t="s">
        <v>331</v>
      </c>
      <c r="B230" s="43" t="s">
        <v>332</v>
      </c>
      <c r="C230" s="158">
        <f>+[10]BS17A!$D1921</f>
        <v>0</v>
      </c>
      <c r="D230" s="40">
        <f>+[10]BS17A!$U1921</f>
        <v>222170</v>
      </c>
      <c r="E230" s="153">
        <f>+[10]BS17A!$V1921</f>
        <v>0</v>
      </c>
      <c r="F230" s="8"/>
    </row>
    <row r="231" spans="1:7" ht="18" customHeight="1" x14ac:dyDescent="0.2">
      <c r="A231" s="130"/>
      <c r="B231" s="131" t="s">
        <v>333</v>
      </c>
      <c r="C231" s="44">
        <f>SUM(C229:C230)</f>
        <v>481</v>
      </c>
      <c r="D231" s="151"/>
      <c r="E231" s="152">
        <f>SUM(E229:E230)</f>
        <v>8523320</v>
      </c>
      <c r="F231" s="8"/>
    </row>
    <row r="232" spans="1:7" ht="18" customHeight="1" x14ac:dyDescent="0.2">
      <c r="A232" s="183"/>
      <c r="B232" s="184"/>
      <c r="C232" s="185"/>
      <c r="D232" s="183"/>
      <c r="E232" s="183"/>
      <c r="F232" s="8"/>
    </row>
    <row r="233" spans="1:7" ht="18" customHeight="1" x14ac:dyDescent="0.2">
      <c r="A233" s="183"/>
      <c r="B233" s="184"/>
      <c r="C233" s="185"/>
      <c r="D233" s="183"/>
      <c r="E233" s="183"/>
      <c r="F233" s="8"/>
    </row>
    <row r="234" spans="1:7" ht="18" customHeight="1" x14ac:dyDescent="0.2">
      <c r="A234" s="251" t="s">
        <v>334</v>
      </c>
      <c r="B234" s="252"/>
      <c r="C234" s="252"/>
      <c r="D234" s="252"/>
      <c r="E234" s="253"/>
      <c r="F234" s="8"/>
    </row>
    <row r="235" spans="1:7" ht="38.25" x14ac:dyDescent="0.2">
      <c r="A235" s="11" t="s">
        <v>8</v>
      </c>
      <c r="B235" s="11" t="s">
        <v>9</v>
      </c>
      <c r="C235" s="12" t="s">
        <v>10</v>
      </c>
      <c r="D235" s="13" t="s">
        <v>11</v>
      </c>
      <c r="E235" s="14" t="s">
        <v>12</v>
      </c>
      <c r="F235" s="8"/>
    </row>
    <row r="236" spans="1:7" ht="18" customHeight="1" x14ac:dyDescent="0.2">
      <c r="A236" s="142" t="s">
        <v>335</v>
      </c>
      <c r="B236" s="186" t="s">
        <v>336</v>
      </c>
      <c r="C236" s="187">
        <f>[10]BS17A!D764</f>
        <v>346</v>
      </c>
      <c r="D236" s="188"/>
      <c r="E236" s="189">
        <f>[10]BS17A!V764</f>
        <v>2210090</v>
      </c>
      <c r="F236" s="8"/>
    </row>
    <row r="237" spans="1:7" ht="18" customHeight="1" x14ac:dyDescent="0.2">
      <c r="A237" s="183"/>
      <c r="B237" s="184"/>
      <c r="C237" s="185"/>
      <c r="D237" s="183"/>
      <c r="E237" s="183"/>
      <c r="F237" s="8"/>
    </row>
    <row r="238" spans="1:7" ht="18" customHeight="1" x14ac:dyDescent="0.2">
      <c r="A238" s="251" t="s">
        <v>337</v>
      </c>
      <c r="B238" s="254"/>
      <c r="C238" s="254"/>
      <c r="D238" s="254"/>
      <c r="E238" s="255"/>
      <c r="F238" s="8"/>
    </row>
    <row r="239" spans="1:7" ht="41.25" customHeight="1" x14ac:dyDescent="0.2">
      <c r="A239" s="11" t="s">
        <v>8</v>
      </c>
      <c r="B239" s="12" t="s">
        <v>338</v>
      </c>
      <c r="C239" s="100" t="s">
        <v>339</v>
      </c>
      <c r="D239" s="13" t="s">
        <v>11</v>
      </c>
      <c r="E239" s="14" t="s">
        <v>12</v>
      </c>
      <c r="F239" s="8"/>
    </row>
    <row r="240" spans="1:7" ht="15" customHeight="1" x14ac:dyDescent="0.2">
      <c r="A240" s="190" t="s">
        <v>340</v>
      </c>
      <c r="B240" s="191" t="s">
        <v>341</v>
      </c>
      <c r="C240" s="19">
        <f>+[10]BS17A!$D1923</f>
        <v>0</v>
      </c>
      <c r="D240" s="37">
        <f>+[10]BS17A!$U1923</f>
        <v>226920</v>
      </c>
      <c r="E240" s="145">
        <f>+[10]BS17A!$V1923</f>
        <v>0</v>
      </c>
      <c r="F240" s="8"/>
    </row>
    <row r="241" spans="1:6" ht="15" customHeight="1" x14ac:dyDescent="0.2">
      <c r="A241" s="192" t="s">
        <v>342</v>
      </c>
      <c r="B241" s="193" t="s">
        <v>343</v>
      </c>
      <c r="C241" s="24">
        <f>+[10]BS17A!$D1924</f>
        <v>0</v>
      </c>
      <c r="D241" s="25">
        <f>+[10]BS17A!$U1924</f>
        <v>32250</v>
      </c>
      <c r="E241" s="146">
        <f>+[10]BS17A!$V1924</f>
        <v>0</v>
      </c>
      <c r="F241" s="8"/>
    </row>
    <row r="242" spans="1:6" ht="15" customHeight="1" x14ac:dyDescent="0.2">
      <c r="A242" s="192" t="s">
        <v>344</v>
      </c>
      <c r="B242" s="193" t="s">
        <v>345</v>
      </c>
      <c r="C242" s="24">
        <f>+[10]BS17A!$D1925</f>
        <v>0</v>
      </c>
      <c r="D242" s="25">
        <f>+[10]BS17A!$U1925</f>
        <v>121620</v>
      </c>
      <c r="E242" s="146">
        <f>+[10]BS17A!$V1925</f>
        <v>0</v>
      </c>
      <c r="F242" s="8"/>
    </row>
    <row r="243" spans="1:6" ht="15" customHeight="1" x14ac:dyDescent="0.2">
      <c r="A243" s="192" t="s">
        <v>346</v>
      </c>
      <c r="B243" s="193" t="s">
        <v>347</v>
      </c>
      <c r="C243" s="24">
        <f>+[10]BS17A!$D1926</f>
        <v>0</v>
      </c>
      <c r="D243" s="25">
        <f>+[10]BS17A!$U1926</f>
        <v>121620</v>
      </c>
      <c r="E243" s="146">
        <f>+[10]BS17A!$V1926</f>
        <v>0</v>
      </c>
      <c r="F243" s="8"/>
    </row>
    <row r="244" spans="1:6" ht="15" customHeight="1" x14ac:dyDescent="0.2">
      <c r="A244" s="192" t="s">
        <v>348</v>
      </c>
      <c r="B244" s="193" t="s">
        <v>349</v>
      </c>
      <c r="C244" s="24">
        <f>+[10]BS17A!$D1927</f>
        <v>0</v>
      </c>
      <c r="D244" s="25">
        <f>+[10]BS17A!$U1927</f>
        <v>221430</v>
      </c>
      <c r="E244" s="146">
        <f>+[10]BS17A!$V1927</f>
        <v>0</v>
      </c>
      <c r="F244" s="8"/>
    </row>
    <row r="245" spans="1:6" ht="15" customHeight="1" x14ac:dyDescent="0.2">
      <c r="A245" s="192" t="s">
        <v>350</v>
      </c>
      <c r="B245" s="193" t="s">
        <v>351</v>
      </c>
      <c r="C245" s="24">
        <f>+[10]BS17A!$D1928</f>
        <v>0</v>
      </c>
      <c r="D245" s="25">
        <f>+[10]BS17A!$U1928</f>
        <v>339820</v>
      </c>
      <c r="E245" s="146">
        <f>+[10]BS17A!$V1928</f>
        <v>0</v>
      </c>
      <c r="F245" s="8"/>
    </row>
    <row r="246" spans="1:6" ht="15" customHeight="1" x14ac:dyDescent="0.2">
      <c r="A246" s="192" t="s">
        <v>352</v>
      </c>
      <c r="B246" s="193" t="s">
        <v>353</v>
      </c>
      <c r="C246" s="24">
        <f>+[10]BS17A!$D1929</f>
        <v>0</v>
      </c>
      <c r="D246" s="25">
        <f>+[10]BS17A!$U1929</f>
        <v>579700</v>
      </c>
      <c r="E246" s="146">
        <f>+[10]BS17A!$V1929</f>
        <v>0</v>
      </c>
      <c r="F246" s="8"/>
    </row>
    <row r="247" spans="1:6" ht="15" customHeight="1" x14ac:dyDescent="0.2">
      <c r="A247" s="194" t="s">
        <v>354</v>
      </c>
      <c r="B247" s="193" t="s">
        <v>355</v>
      </c>
      <c r="C247" s="24">
        <f>+[10]BS17A!$D1930</f>
        <v>0</v>
      </c>
      <c r="D247" s="25">
        <f>+[10]BS17A!$U1930</f>
        <v>120740</v>
      </c>
      <c r="E247" s="146">
        <f>+[10]BS17A!$V1930</f>
        <v>0</v>
      </c>
      <c r="F247" s="8"/>
    </row>
    <row r="248" spans="1:6" ht="15" customHeight="1" x14ac:dyDescent="0.2">
      <c r="A248" s="194" t="s">
        <v>356</v>
      </c>
      <c r="B248" s="193" t="s">
        <v>357</v>
      </c>
      <c r="C248" s="24">
        <f>+[10]BS17A!$D1931</f>
        <v>0</v>
      </c>
      <c r="D248" s="25">
        <f>+[10]BS17A!$U1931</f>
        <v>325420</v>
      </c>
      <c r="E248" s="146">
        <f>+[10]BS17A!$V1931</f>
        <v>0</v>
      </c>
      <c r="F248" s="8"/>
    </row>
    <row r="249" spans="1:6" ht="15" customHeight="1" x14ac:dyDescent="0.2">
      <c r="A249" s="194" t="s">
        <v>358</v>
      </c>
      <c r="B249" s="193" t="s">
        <v>359</v>
      </c>
      <c r="C249" s="66">
        <f>+[10]BS17A!$D1932</f>
        <v>0</v>
      </c>
      <c r="D249" s="32">
        <f>+[10]BS17A!$U1932</f>
        <v>137020</v>
      </c>
      <c r="E249" s="195">
        <f>+[10]BS17A!$V1932</f>
        <v>0</v>
      </c>
      <c r="F249" s="8"/>
    </row>
    <row r="250" spans="1:6" ht="15" customHeight="1" x14ac:dyDescent="0.2">
      <c r="A250" s="194" t="s">
        <v>360</v>
      </c>
      <c r="B250" s="193" t="s">
        <v>361</v>
      </c>
      <c r="C250" s="66">
        <f>+[10]BS17A!$D1933</f>
        <v>0</v>
      </c>
      <c r="D250" s="32">
        <f>+[10]BS17A!$U1933</f>
        <v>119070</v>
      </c>
      <c r="E250" s="195">
        <f>+[10]BS17A!$V1933</f>
        <v>0</v>
      </c>
      <c r="F250" s="8"/>
    </row>
    <row r="251" spans="1:6" ht="15" customHeight="1" x14ac:dyDescent="0.2">
      <c r="A251" s="194" t="s">
        <v>362</v>
      </c>
      <c r="B251" s="193" t="s">
        <v>363</v>
      </c>
      <c r="C251" s="66">
        <f>+[10]BS17A!$D1934</f>
        <v>0</v>
      </c>
      <c r="D251" s="32">
        <f>+[10]BS17A!$U1934</f>
        <v>181020</v>
      </c>
      <c r="E251" s="195">
        <f>+[10]BS17A!$V1934</f>
        <v>0</v>
      </c>
      <c r="F251" s="8"/>
    </row>
    <row r="252" spans="1:6" ht="15" customHeight="1" x14ac:dyDescent="0.2">
      <c r="A252" s="194" t="s">
        <v>364</v>
      </c>
      <c r="B252" s="193" t="s">
        <v>365</v>
      </c>
      <c r="C252" s="66">
        <f>+[10]BS17A!$D1935</f>
        <v>0</v>
      </c>
      <c r="D252" s="32">
        <f>+[10]BS17A!$U1935</f>
        <v>47640</v>
      </c>
      <c r="E252" s="195">
        <f>+[10]BS17A!$V1935</f>
        <v>0</v>
      </c>
      <c r="F252" s="8"/>
    </row>
    <row r="253" spans="1:6" ht="15" customHeight="1" x14ac:dyDescent="0.2">
      <c r="A253" s="196" t="s">
        <v>366</v>
      </c>
      <c r="B253" s="197" t="s">
        <v>367</v>
      </c>
      <c r="C253" s="31">
        <f>+[10]BS17A!$D1936</f>
        <v>0</v>
      </c>
      <c r="D253" s="40">
        <f>+[10]BS17A!$U1936</f>
        <v>35600</v>
      </c>
      <c r="E253" s="153">
        <f>+[10]BS17A!$V1936</f>
        <v>0</v>
      </c>
      <c r="F253" s="8"/>
    </row>
    <row r="254" spans="1:6" ht="15" customHeight="1" x14ac:dyDescent="0.2">
      <c r="A254" s="242" t="s">
        <v>368</v>
      </c>
      <c r="B254" s="243"/>
      <c r="C254" s="243"/>
      <c r="D254" s="243"/>
      <c r="E254" s="244"/>
      <c r="F254" s="8"/>
    </row>
    <row r="255" spans="1:6" ht="15" customHeight="1" x14ac:dyDescent="0.2">
      <c r="A255" s="17" t="s">
        <v>369</v>
      </c>
      <c r="B255" s="198" t="s">
        <v>341</v>
      </c>
      <c r="C255" s="19">
        <f>+[10]BS17A!$D1937</f>
        <v>0</v>
      </c>
      <c r="D255" s="37">
        <f>+[10]BS17A!$U1937</f>
        <v>195210</v>
      </c>
      <c r="E255" s="145">
        <f>+[10]BS17A!$V1937</f>
        <v>0</v>
      </c>
      <c r="F255" s="8"/>
    </row>
    <row r="256" spans="1:6" ht="15" customHeight="1" x14ac:dyDescent="0.2">
      <c r="A256" s="22" t="s">
        <v>370</v>
      </c>
      <c r="B256" s="34" t="s">
        <v>371</v>
      </c>
      <c r="C256" s="24">
        <f>+[10]BS17A!$D1938</f>
        <v>0</v>
      </c>
      <c r="D256" s="25">
        <f>+[10]BS17A!$U1938</f>
        <v>1161300</v>
      </c>
      <c r="E256" s="146">
        <f>+[10]BS17A!$V1938</f>
        <v>0</v>
      </c>
      <c r="F256" s="8"/>
    </row>
    <row r="257" spans="1:6" ht="15" customHeight="1" x14ac:dyDescent="0.2">
      <c r="A257" s="22" t="s">
        <v>372</v>
      </c>
      <c r="B257" s="34" t="s">
        <v>373</v>
      </c>
      <c r="C257" s="24">
        <f>+[10]BS17A!$D1939</f>
        <v>0</v>
      </c>
      <c r="D257" s="25">
        <f>+[10]BS17A!$U1939</f>
        <v>175210</v>
      </c>
      <c r="E257" s="146">
        <f>+[10]BS17A!$V1939</f>
        <v>0</v>
      </c>
      <c r="F257" s="8"/>
    </row>
    <row r="258" spans="1:6" ht="15" customHeight="1" x14ac:dyDescent="0.2">
      <c r="A258" s="22" t="s">
        <v>374</v>
      </c>
      <c r="B258" s="34" t="s">
        <v>375</v>
      </c>
      <c r="C258" s="24">
        <f>+[10]BS17A!$D1940</f>
        <v>0</v>
      </c>
      <c r="D258" s="25">
        <f>+[10]BS17A!$U1940</f>
        <v>154940</v>
      </c>
      <c r="E258" s="146">
        <f>+[10]BS17A!$V1940</f>
        <v>0</v>
      </c>
      <c r="F258" s="8"/>
    </row>
    <row r="259" spans="1:6" ht="15" customHeight="1" x14ac:dyDescent="0.2">
      <c r="A259" s="22" t="s">
        <v>376</v>
      </c>
      <c r="B259" s="34" t="s">
        <v>377</v>
      </c>
      <c r="C259" s="24">
        <f>+[10]BS17A!$D1941</f>
        <v>0</v>
      </c>
      <c r="D259" s="25">
        <f>+[10]BS17A!$U1941</f>
        <v>314530</v>
      </c>
      <c r="E259" s="146">
        <f>+[10]BS17A!$V1941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24">
        <f>+[10]BS17A!$D1942</f>
        <v>0</v>
      </c>
      <c r="D260" s="25">
        <f>+[10]BS17A!$U1942</f>
        <v>1045930</v>
      </c>
      <c r="E260" s="146">
        <f>+[10]BS17A!$V1942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24">
        <f>+[10]BS17A!$D1943</f>
        <v>0</v>
      </c>
      <c r="D261" s="25">
        <f>+[10]BS17A!$U1943</f>
        <v>1074870</v>
      </c>
      <c r="E261" s="146">
        <f>+[10]BS17A!$V1943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24">
        <f>+[10]BS17A!$D1944</f>
        <v>0</v>
      </c>
      <c r="D262" s="25">
        <f>+[10]BS17A!$U1944</f>
        <v>851060</v>
      </c>
      <c r="E262" s="146">
        <f>+[10]BS17A!$V1944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24">
        <f>+[10]BS17A!$D1945</f>
        <v>0</v>
      </c>
      <c r="D263" s="25">
        <f>+[10]BS17A!$U1945</f>
        <v>896940</v>
      </c>
      <c r="E263" s="146">
        <f>+[10]BS17A!$V1945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24">
        <f>+[10]BS17A!$D1946</f>
        <v>0</v>
      </c>
      <c r="D264" s="25">
        <f>+[10]BS17A!$U1946</f>
        <v>353830</v>
      </c>
      <c r="E264" s="146">
        <f>+[10]BS17A!$V1946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24">
        <f>+[10]BS17A!$D1947</f>
        <v>0</v>
      </c>
      <c r="D265" s="25">
        <f>+[10]BS17A!$U1947</f>
        <v>84740</v>
      </c>
      <c r="E265" s="146">
        <f>+[10]BS17A!$V1947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24">
        <f>+[10]BS17A!$D1948</f>
        <v>0</v>
      </c>
      <c r="D266" s="25">
        <f>+[10]BS17A!$U1948</f>
        <v>252810</v>
      </c>
      <c r="E266" s="146">
        <f>+[10]BS17A!$V1948</f>
        <v>0</v>
      </c>
      <c r="F266" s="8"/>
    </row>
    <row r="267" spans="1:6" ht="15" customHeight="1" x14ac:dyDescent="0.2">
      <c r="A267" s="22" t="s">
        <v>392</v>
      </c>
      <c r="B267" s="23" t="s">
        <v>393</v>
      </c>
      <c r="C267" s="24">
        <f>+[10]BS17A!$D1949</f>
        <v>0</v>
      </c>
      <c r="D267" s="25">
        <f>+[10]BS17A!$U1949</f>
        <v>71480</v>
      </c>
      <c r="E267" s="146">
        <f>+[10]BS17A!$V1949</f>
        <v>0</v>
      </c>
      <c r="F267" s="8"/>
    </row>
    <row r="268" spans="1:6" ht="15" customHeight="1" x14ac:dyDescent="0.2">
      <c r="A268" s="22" t="s">
        <v>394</v>
      </c>
      <c r="B268" s="23" t="s">
        <v>395</v>
      </c>
      <c r="C268" s="24">
        <f>+[10]BS17A!$D1950</f>
        <v>0</v>
      </c>
      <c r="D268" s="25">
        <f>+[10]BS17A!$U1950</f>
        <v>1228260</v>
      </c>
      <c r="E268" s="146">
        <f>+[10]BS17A!$V1950</f>
        <v>0</v>
      </c>
      <c r="F268" s="8"/>
    </row>
    <row r="269" spans="1:6" ht="15" customHeight="1" x14ac:dyDescent="0.2">
      <c r="A269" s="22" t="s">
        <v>396</v>
      </c>
      <c r="B269" s="23" t="s">
        <v>397</v>
      </c>
      <c r="C269" s="24">
        <f>+[10]BS17A!$D1951</f>
        <v>0</v>
      </c>
      <c r="D269" s="25">
        <f>+[10]BS17A!$U1951</f>
        <v>287200</v>
      </c>
      <c r="E269" s="146">
        <f>+[10]BS17A!$V1951</f>
        <v>0</v>
      </c>
      <c r="F269" s="8"/>
    </row>
    <row r="270" spans="1:6" ht="15" customHeight="1" x14ac:dyDescent="0.2">
      <c r="A270" s="22" t="s">
        <v>398</v>
      </c>
      <c r="B270" s="23" t="s">
        <v>399</v>
      </c>
      <c r="C270" s="24">
        <f>+[10]BS17A!$D1952</f>
        <v>0</v>
      </c>
      <c r="D270" s="25">
        <f>+[10]BS17A!$U1952</f>
        <v>962120</v>
      </c>
      <c r="E270" s="146">
        <f>+[10]BS17A!$V1952</f>
        <v>0</v>
      </c>
      <c r="F270" s="8"/>
    </row>
    <row r="271" spans="1:6" ht="15" customHeight="1" x14ac:dyDescent="0.2">
      <c r="A271" s="22" t="s">
        <v>400</v>
      </c>
      <c r="B271" s="30" t="s">
        <v>401</v>
      </c>
      <c r="C271" s="24">
        <f>+[10]BS17A!$D1953</f>
        <v>0</v>
      </c>
      <c r="D271" s="25">
        <f>+[10]BS17A!$U1953</f>
        <v>589010</v>
      </c>
      <c r="E271" s="146">
        <f>+[10]BS17A!$V1953</f>
        <v>0</v>
      </c>
      <c r="F271" s="8"/>
    </row>
    <row r="272" spans="1:6" ht="15" customHeight="1" x14ac:dyDescent="0.2">
      <c r="A272" s="29" t="s">
        <v>402</v>
      </c>
      <c r="B272" s="30" t="s">
        <v>403</v>
      </c>
      <c r="C272" s="31">
        <f>+[10]BS17A!$D1954</f>
        <v>0</v>
      </c>
      <c r="D272" s="32">
        <f>+[10]BS17A!$U1954</f>
        <v>480670</v>
      </c>
      <c r="E272" s="195">
        <f>+[10]BS17A!$V1954</f>
        <v>0</v>
      </c>
      <c r="F272" s="8"/>
    </row>
    <row r="273" spans="1:10" ht="15" customHeight="1" x14ac:dyDescent="0.2">
      <c r="A273" s="242" t="s">
        <v>404</v>
      </c>
      <c r="B273" s="243"/>
      <c r="C273" s="243"/>
      <c r="D273" s="243"/>
      <c r="E273" s="244"/>
      <c r="F273" s="8"/>
    </row>
    <row r="274" spans="1:10" ht="15" customHeight="1" x14ac:dyDescent="0.2">
      <c r="A274" s="17" t="s">
        <v>405</v>
      </c>
      <c r="B274" s="18" t="s">
        <v>406</v>
      </c>
      <c r="C274" s="70">
        <f>+[10]BS17A!$D1955</f>
        <v>0</v>
      </c>
      <c r="D274" s="20">
        <f>[10]BS17A!U1955</f>
        <v>259110</v>
      </c>
      <c r="E274" s="199">
        <f>+[10]BS17A!$V1955</f>
        <v>0</v>
      </c>
      <c r="F274" s="8"/>
    </row>
    <row r="275" spans="1:10" ht="15" customHeight="1" x14ac:dyDescent="0.2">
      <c r="A275" s="22" t="s">
        <v>407</v>
      </c>
      <c r="B275" s="23" t="s">
        <v>408</v>
      </c>
      <c r="C275" s="24">
        <f>+[10]BS17A!$D1956</f>
        <v>0</v>
      </c>
      <c r="D275" s="25">
        <f>[10]BS17A!U1956</f>
        <v>151070</v>
      </c>
      <c r="E275" s="146">
        <f>+[10]BS17A!$V1956</f>
        <v>0</v>
      </c>
      <c r="F275" s="8"/>
    </row>
    <row r="276" spans="1:10" ht="15" customHeight="1" x14ac:dyDescent="0.2">
      <c r="A276" s="22" t="s">
        <v>409</v>
      </c>
      <c r="B276" s="23" t="s">
        <v>410</v>
      </c>
      <c r="C276" s="24">
        <f>+[10]BS17A!$D1957</f>
        <v>0</v>
      </c>
      <c r="D276" s="25">
        <f>[10]BS17A!U1957</f>
        <v>365020</v>
      </c>
      <c r="E276" s="146">
        <f>+[10]BS17A!$V1957</f>
        <v>0</v>
      </c>
      <c r="F276" s="8"/>
    </row>
    <row r="277" spans="1:10" ht="15" customHeight="1" x14ac:dyDescent="0.2">
      <c r="A277" s="22" t="s">
        <v>411</v>
      </c>
      <c r="B277" s="23" t="s">
        <v>412</v>
      </c>
      <c r="C277" s="24">
        <f>+[10]BS17A!$D1958</f>
        <v>0</v>
      </c>
      <c r="D277" s="25">
        <f>[10]BS17A!U1958</f>
        <v>378270</v>
      </c>
      <c r="E277" s="146">
        <f>+[10]BS17A!$V1958</f>
        <v>0</v>
      </c>
      <c r="F277" s="8"/>
    </row>
    <row r="278" spans="1:10" ht="15" customHeight="1" x14ac:dyDescent="0.2">
      <c r="A278" s="29" t="s">
        <v>413</v>
      </c>
      <c r="B278" s="39" t="s">
        <v>414</v>
      </c>
      <c r="C278" s="31">
        <f>+[10]BS17A!$D1959</f>
        <v>0</v>
      </c>
      <c r="D278" s="40">
        <f>[10]BS17A!U1959</f>
        <v>236360</v>
      </c>
      <c r="E278" s="153">
        <f>+[10]BS17A!$V1959</f>
        <v>0</v>
      </c>
      <c r="F278" s="200"/>
    </row>
    <row r="279" spans="1:10" ht="15" customHeight="1" x14ac:dyDescent="0.2">
      <c r="A279" s="201" t="s">
        <v>415</v>
      </c>
      <c r="B279" s="202" t="s">
        <v>416</v>
      </c>
      <c r="C279" s="203">
        <f>+[10]BS17A!$D1960</f>
        <v>96</v>
      </c>
      <c r="D279" s="204">
        <f>[10]BS17A!U1960</f>
        <v>32140</v>
      </c>
      <c r="E279" s="189">
        <f>+[10]BS17A!$V1960</f>
        <v>3085440</v>
      </c>
      <c r="F279" s="200"/>
    </row>
    <row r="280" spans="1:10" ht="15" customHeight="1" x14ac:dyDescent="0.2">
      <c r="A280" s="130"/>
      <c r="B280" s="205" t="s">
        <v>417</v>
      </c>
      <c r="C280" s="44">
        <f>SUM(C240:C279)</f>
        <v>96</v>
      </c>
      <c r="D280" s="151"/>
      <c r="E280" s="152">
        <f>SUM(E240:E279)</f>
        <v>3085440</v>
      </c>
      <c r="F280" s="200"/>
    </row>
    <row r="281" spans="1:10" ht="18" customHeight="1" x14ac:dyDescent="0.2">
      <c r="A281" s="183"/>
      <c r="B281" s="8"/>
      <c r="C281" s="8"/>
      <c r="D281" s="183"/>
      <c r="E281" s="183"/>
      <c r="F281" s="8"/>
    </row>
    <row r="282" spans="1:10" ht="18" customHeight="1" x14ac:dyDescent="0.2">
      <c r="A282" s="183"/>
      <c r="B282" s="185"/>
      <c r="C282" s="185"/>
      <c r="D282" s="183"/>
      <c r="E282" s="183"/>
      <c r="F282" s="206"/>
      <c r="G282" s="207"/>
      <c r="J282" s="208"/>
    </row>
    <row r="283" spans="1:10" ht="12.75" customHeight="1" x14ac:dyDescent="0.2">
      <c r="A283" s="251" t="s">
        <v>418</v>
      </c>
      <c r="B283" s="254"/>
      <c r="C283" s="254"/>
      <c r="D283" s="254"/>
      <c r="E283" s="255"/>
      <c r="F283" s="8"/>
    </row>
    <row r="284" spans="1:10" ht="44.25" customHeight="1" x14ac:dyDescent="0.2">
      <c r="A284" s="11" t="s">
        <v>8</v>
      </c>
      <c r="B284" s="11" t="s">
        <v>418</v>
      </c>
      <c r="C284" s="12" t="s">
        <v>339</v>
      </c>
      <c r="D284" s="13" t="s">
        <v>11</v>
      </c>
      <c r="E284" s="14" t="s">
        <v>12</v>
      </c>
      <c r="F284" s="200"/>
    </row>
    <row r="285" spans="1:10" ht="15" customHeight="1" x14ac:dyDescent="0.2">
      <c r="A285" s="17" t="s">
        <v>419</v>
      </c>
      <c r="B285" s="209" t="s">
        <v>420</v>
      </c>
      <c r="C285" s="19">
        <f>+[10]BS17A!$D1962</f>
        <v>6</v>
      </c>
      <c r="D285" s="37">
        <f>+[10]BS17A!$U1962</f>
        <v>6320</v>
      </c>
      <c r="E285" s="145">
        <f>+[10]BS17A!$V1962</f>
        <v>37920</v>
      </c>
      <c r="F285" s="8"/>
    </row>
    <row r="286" spans="1:10" ht="15" customHeight="1" x14ac:dyDescent="0.2">
      <c r="A286" s="22" t="s">
        <v>421</v>
      </c>
      <c r="B286" s="210" t="s">
        <v>422</v>
      </c>
      <c r="C286" s="24">
        <f>+[10]BS17A!$D1963</f>
        <v>0</v>
      </c>
      <c r="D286" s="25">
        <f>+[10]BS17A!$U1963</f>
        <v>3370</v>
      </c>
      <c r="E286" s="146">
        <f>+[10]BS17A!$V1963</f>
        <v>0</v>
      </c>
      <c r="F286" s="8"/>
    </row>
    <row r="287" spans="1:10" ht="15" customHeight="1" x14ac:dyDescent="0.2">
      <c r="A287" s="22" t="s">
        <v>423</v>
      </c>
      <c r="B287" s="210" t="s">
        <v>424</v>
      </c>
      <c r="C287" s="24">
        <f>+[10]BS17A!$D1964</f>
        <v>2</v>
      </c>
      <c r="D287" s="25">
        <f>+[10]BS17A!$U1964</f>
        <v>12690</v>
      </c>
      <c r="E287" s="146">
        <f>+[10]BS17A!$V1964</f>
        <v>25380</v>
      </c>
      <c r="F287" s="8"/>
    </row>
    <row r="288" spans="1:10" ht="15" customHeight="1" x14ac:dyDescent="0.2">
      <c r="A288" s="22" t="s">
        <v>425</v>
      </c>
      <c r="B288" s="210" t="s">
        <v>426</v>
      </c>
      <c r="C288" s="24">
        <f>+[10]BS17A!$D1965</f>
        <v>0</v>
      </c>
      <c r="D288" s="25">
        <f>+[10]BS17A!$U1965</f>
        <v>130140</v>
      </c>
      <c r="E288" s="146">
        <f>+[10]BS17A!$V1965</f>
        <v>0</v>
      </c>
      <c r="F288" s="8"/>
    </row>
    <row r="289" spans="1:7" ht="15" customHeight="1" x14ac:dyDescent="0.2">
      <c r="A289" s="29" t="s">
        <v>427</v>
      </c>
      <c r="B289" s="211" t="s">
        <v>428</v>
      </c>
      <c r="C289" s="31">
        <f>+[10]BS17A!$D1966</f>
        <v>0</v>
      </c>
      <c r="D289" s="40">
        <f>+[10]BS17A!$U1966</f>
        <v>714770</v>
      </c>
      <c r="E289" s="153">
        <f>+[10]BS17A!$V1966</f>
        <v>0</v>
      </c>
      <c r="F289" s="8"/>
    </row>
    <row r="290" spans="1:7" ht="15" customHeight="1" x14ac:dyDescent="0.2">
      <c r="A290" s="130"/>
      <c r="B290" s="131" t="s">
        <v>429</v>
      </c>
      <c r="C290" s="56">
        <f>SUM(C285:C289)</f>
        <v>8</v>
      </c>
      <c r="D290" s="57"/>
      <c r="E290" s="107">
        <f>SUM(E285:E289)</f>
        <v>63300</v>
      </c>
      <c r="F290" s="8"/>
    </row>
    <row r="291" spans="1:7" ht="18" customHeight="1" x14ac:dyDescent="0.2">
      <c r="A291" s="183"/>
      <c r="B291" s="185"/>
      <c r="C291" s="183"/>
      <c r="D291" s="183"/>
      <c r="E291" s="183"/>
      <c r="F291" s="8"/>
    </row>
    <row r="292" spans="1:7" ht="18" customHeight="1" x14ac:dyDescent="0.2">
      <c r="A292" s="183"/>
      <c r="B292" s="185"/>
      <c r="C292" s="183"/>
      <c r="D292" s="183"/>
      <c r="E292" s="183"/>
      <c r="F292" s="212"/>
      <c r="G292" s="10"/>
    </row>
    <row r="293" spans="1:7" ht="12.75" x14ac:dyDescent="0.2">
      <c r="A293" s="242" t="s">
        <v>430</v>
      </c>
      <c r="B293" s="243"/>
      <c r="C293" s="243"/>
      <c r="D293" s="243"/>
      <c r="E293" s="244"/>
      <c r="F293" s="213"/>
      <c r="G293" s="10"/>
    </row>
    <row r="294" spans="1:7" ht="36.75" customHeight="1" x14ac:dyDescent="0.2">
      <c r="A294" s="11" t="s">
        <v>8</v>
      </c>
      <c r="B294" s="214" t="s">
        <v>430</v>
      </c>
      <c r="C294" s="215" t="s">
        <v>431</v>
      </c>
      <c r="D294" s="13" t="s">
        <v>11</v>
      </c>
      <c r="E294" s="14" t="s">
        <v>12</v>
      </c>
      <c r="F294" s="213"/>
      <c r="G294" s="10"/>
    </row>
    <row r="295" spans="1:7" ht="15" customHeight="1" x14ac:dyDescent="0.2">
      <c r="A295" s="17" t="s">
        <v>432</v>
      </c>
      <c r="B295" s="36" t="s">
        <v>433</v>
      </c>
      <c r="C295" s="19">
        <f>+[10]BS17A!$D1851</f>
        <v>256</v>
      </c>
      <c r="D295" s="37">
        <f>+[10]BS17A!$U1851</f>
        <v>16920</v>
      </c>
      <c r="E295" s="145">
        <f>+[10]BS17A!$V1851</f>
        <v>4331520</v>
      </c>
      <c r="F295" s="8"/>
    </row>
    <row r="296" spans="1:7" ht="15" customHeight="1" x14ac:dyDescent="0.2">
      <c r="A296" s="22" t="s">
        <v>434</v>
      </c>
      <c r="B296" s="28" t="s">
        <v>435</v>
      </c>
      <c r="C296" s="24">
        <f>+[10]BS17A!$D1852</f>
        <v>178</v>
      </c>
      <c r="D296" s="25">
        <f>+[10]BS17A!$U1852</f>
        <v>53200</v>
      </c>
      <c r="E296" s="146">
        <f>+[10]BS17A!$V1852</f>
        <v>9469600</v>
      </c>
      <c r="F296" s="8"/>
    </row>
    <row r="297" spans="1:7" ht="15" customHeight="1" x14ac:dyDescent="0.2">
      <c r="A297" s="22" t="s">
        <v>436</v>
      </c>
      <c r="B297" s="28" t="s">
        <v>437</v>
      </c>
      <c r="C297" s="24">
        <f>+[10]BS17A!$D1853</f>
        <v>0</v>
      </c>
      <c r="D297" s="25">
        <f>+[10]BS17A!$U1853</f>
        <v>65950</v>
      </c>
      <c r="E297" s="146">
        <f>+[10]BS17A!$V1853</f>
        <v>0</v>
      </c>
      <c r="F297" s="8"/>
    </row>
    <row r="298" spans="1:7" ht="15" customHeight="1" x14ac:dyDescent="0.2">
      <c r="A298" s="22" t="s">
        <v>438</v>
      </c>
      <c r="B298" s="28" t="s">
        <v>439</v>
      </c>
      <c r="C298" s="24">
        <f>+[10]BS17A!$D1854</f>
        <v>178</v>
      </c>
      <c r="D298" s="25">
        <f>+[10]BS17A!$U1854</f>
        <v>2320</v>
      </c>
      <c r="E298" s="146">
        <f>+[10]BS17A!$V1854</f>
        <v>412960</v>
      </c>
      <c r="F298" s="8"/>
    </row>
    <row r="299" spans="1:7" ht="15" customHeight="1" x14ac:dyDescent="0.2">
      <c r="A299" s="22" t="s">
        <v>440</v>
      </c>
      <c r="B299" s="28" t="s">
        <v>441</v>
      </c>
      <c r="C299" s="24">
        <f>+[10]BS17A!$D1855</f>
        <v>0</v>
      </c>
      <c r="D299" s="25">
        <f>+[10]BS17A!$U1855</f>
        <v>70</v>
      </c>
      <c r="E299" s="146">
        <f>+[10]BS17A!$V1855</f>
        <v>0</v>
      </c>
      <c r="F299" s="8"/>
    </row>
    <row r="300" spans="1:7" ht="15" customHeight="1" x14ac:dyDescent="0.2">
      <c r="A300" s="22" t="s">
        <v>442</v>
      </c>
      <c r="B300" s="23" t="s">
        <v>443</v>
      </c>
      <c r="C300" s="24">
        <f>+[10]BS17A!$D1856</f>
        <v>0</v>
      </c>
      <c r="D300" s="25">
        <f>+[10]BS17A!$U1856</f>
        <v>140030</v>
      </c>
      <c r="E300" s="146">
        <f>+[10]BS17A!$V1856</f>
        <v>0</v>
      </c>
      <c r="F300" s="8"/>
    </row>
    <row r="301" spans="1:7" ht="15" customHeight="1" x14ac:dyDescent="0.2">
      <c r="A301" s="29" t="s">
        <v>444</v>
      </c>
      <c r="B301" s="43" t="s">
        <v>445</v>
      </c>
      <c r="C301" s="31">
        <f>+[10]BS17A!$D1857</f>
        <v>0</v>
      </c>
      <c r="D301" s="40">
        <f>+[10]BS17A!$U1857</f>
        <v>9520</v>
      </c>
      <c r="E301" s="153">
        <f>+[10]BS17A!$V1857</f>
        <v>0</v>
      </c>
      <c r="F301" s="8"/>
    </row>
    <row r="302" spans="1:7" ht="15" customHeight="1" x14ac:dyDescent="0.2">
      <c r="A302" s="96"/>
      <c r="B302" s="246" t="s">
        <v>446</v>
      </c>
      <c r="C302" s="247"/>
      <c r="D302" s="188"/>
      <c r="E302" s="217">
        <f>SUM(E295:E301)</f>
        <v>14214080</v>
      </c>
      <c r="F302" s="8"/>
    </row>
    <row r="303" spans="1:7" ht="12.75" x14ac:dyDescent="0.2">
      <c r="A303" s="8"/>
      <c r="B303" s="8"/>
      <c r="C303" s="8"/>
      <c r="D303" s="8"/>
      <c r="E303" s="8"/>
      <c r="F303" s="175"/>
      <c r="G303" s="182"/>
    </row>
    <row r="304" spans="1:7" ht="12.75" x14ac:dyDescent="0.2">
      <c r="A304" s="8"/>
      <c r="B304" s="8"/>
      <c r="C304" s="8"/>
      <c r="D304" s="8"/>
      <c r="E304" s="8"/>
      <c r="F304" s="175"/>
      <c r="G304" s="182"/>
    </row>
    <row r="305" spans="1:7" ht="12.75" x14ac:dyDescent="0.2">
      <c r="A305" s="239" t="s">
        <v>447</v>
      </c>
      <c r="B305" s="240"/>
      <c r="C305" s="240"/>
      <c r="D305" s="240"/>
      <c r="E305" s="241"/>
      <c r="F305" s="175"/>
      <c r="G305" s="182"/>
    </row>
    <row r="306" spans="1:7" ht="12.75" x14ac:dyDescent="0.2">
      <c r="A306" s="218"/>
      <c r="B306" s="248" t="s">
        <v>448</v>
      </c>
      <c r="C306" s="249"/>
      <c r="D306" s="250"/>
      <c r="E306" s="219">
        <f>+E231+E236+E280+E290+E302</f>
        <v>28096230</v>
      </c>
      <c r="F306" s="8"/>
    </row>
    <row r="307" spans="1:7" ht="12.75" x14ac:dyDescent="0.2">
      <c r="A307" s="8"/>
      <c r="B307" s="8"/>
      <c r="C307" s="8"/>
      <c r="D307" s="8"/>
      <c r="E307" s="8"/>
      <c r="F307" s="175"/>
      <c r="G307" s="182"/>
    </row>
    <row r="308" spans="1:7" ht="12.75" x14ac:dyDescent="0.2">
      <c r="A308" s="8"/>
      <c r="B308" s="8"/>
      <c r="C308" s="8"/>
      <c r="D308" s="8"/>
      <c r="E308" s="8"/>
      <c r="F308" s="175"/>
      <c r="G308" s="182"/>
    </row>
    <row r="309" spans="1:7" ht="12.75" x14ac:dyDescent="0.2">
      <c r="A309" s="239" t="s">
        <v>449</v>
      </c>
      <c r="B309" s="240"/>
      <c r="C309" s="240"/>
      <c r="D309" s="240"/>
      <c r="E309" s="241"/>
      <c r="F309" s="175"/>
      <c r="G309" s="182"/>
    </row>
    <row r="310" spans="1:7" ht="25.5" x14ac:dyDescent="0.2">
      <c r="A310" s="242" t="s">
        <v>450</v>
      </c>
      <c r="B310" s="243"/>
      <c r="C310" s="243"/>
      <c r="D310" s="244"/>
      <c r="E310" s="11" t="s">
        <v>12</v>
      </c>
      <c r="F310" s="175"/>
      <c r="G310" s="182"/>
    </row>
    <row r="311" spans="1:7" ht="15" customHeight="1" x14ac:dyDescent="0.2">
      <c r="A311" s="218"/>
      <c r="B311" s="248" t="s">
        <v>451</v>
      </c>
      <c r="C311" s="249"/>
      <c r="D311" s="250"/>
      <c r="E311" s="219">
        <f>+E50+E76+E84+F109+E116+C121+E148+E155+E167+E203+E217+C224+E306</f>
        <v>597778675</v>
      </c>
      <c r="F311" s="175"/>
      <c r="G311" s="182"/>
    </row>
    <row r="312" spans="1:7" ht="18" customHeight="1" x14ac:dyDescent="0.2">
      <c r="A312" s="8"/>
      <c r="B312" s="8"/>
      <c r="C312" s="8"/>
      <c r="D312" s="8"/>
      <c r="E312" s="8"/>
      <c r="F312" s="5"/>
    </row>
    <row r="313" spans="1:7" ht="18" customHeight="1" x14ac:dyDescent="0.2">
      <c r="A313" s="8"/>
      <c r="B313" s="8"/>
      <c r="C313" s="8"/>
      <c r="D313" s="8"/>
      <c r="E313" s="8"/>
      <c r="F313" s="5"/>
    </row>
    <row r="314" spans="1:7" ht="18" customHeight="1" x14ac:dyDescent="0.2">
      <c r="A314" s="239" t="s">
        <v>452</v>
      </c>
      <c r="B314" s="240"/>
      <c r="C314" s="241"/>
      <c r="D314" s="8"/>
      <c r="E314" s="8"/>
      <c r="F314" s="5"/>
    </row>
    <row r="315" spans="1:7" ht="18" customHeight="1" x14ac:dyDescent="0.2">
      <c r="A315" s="242" t="s">
        <v>453</v>
      </c>
      <c r="B315" s="243"/>
      <c r="C315" s="244"/>
      <c r="D315" s="8"/>
      <c r="E315" s="8"/>
      <c r="F315" s="5"/>
    </row>
    <row r="316" spans="1:7" ht="30.75" customHeight="1" x14ac:dyDescent="0.2">
      <c r="A316" s="239" t="s">
        <v>454</v>
      </c>
      <c r="B316" s="240"/>
      <c r="C316" s="11" t="s">
        <v>455</v>
      </c>
      <c r="D316" s="8"/>
      <c r="E316" s="8"/>
      <c r="F316" s="8"/>
    </row>
    <row r="317" spans="1:7" ht="15" customHeight="1" x14ac:dyDescent="0.2">
      <c r="A317" s="220" t="s">
        <v>456</v>
      </c>
      <c r="B317" s="191"/>
      <c r="C317" s="221"/>
      <c r="D317" s="8"/>
      <c r="E317" s="8"/>
      <c r="F317" s="8"/>
    </row>
    <row r="318" spans="1:7" ht="15" customHeight="1" x14ac:dyDescent="0.2">
      <c r="A318" s="24" t="s">
        <v>457</v>
      </c>
      <c r="B318" s="193"/>
      <c r="C318" s="222"/>
      <c r="D318" s="8"/>
      <c r="E318" s="8"/>
      <c r="F318" s="8"/>
    </row>
    <row r="319" spans="1:7" ht="15" customHeight="1" x14ac:dyDescent="0.2">
      <c r="A319" s="24" t="s">
        <v>458</v>
      </c>
      <c r="B319" s="193"/>
      <c r="C319" s="222"/>
      <c r="D319" s="8"/>
      <c r="E319" s="8"/>
      <c r="F319" s="8"/>
    </row>
    <row r="320" spans="1:7" ht="15" customHeight="1" x14ac:dyDescent="0.2">
      <c r="A320" s="223" t="s">
        <v>459</v>
      </c>
      <c r="B320" s="193"/>
      <c r="C320" s="222"/>
      <c r="D320" s="8"/>
      <c r="E320" s="8"/>
      <c r="F320" s="8"/>
    </row>
    <row r="321" spans="1:6" ht="15" customHeight="1" x14ac:dyDescent="0.2">
      <c r="A321" s="224" t="s">
        <v>460</v>
      </c>
      <c r="B321" s="225"/>
      <c r="C321" s="226">
        <f>SUM(C317:C320)</f>
        <v>0</v>
      </c>
      <c r="D321" s="8"/>
      <c r="E321" s="8"/>
      <c r="F321" s="8"/>
    </row>
    <row r="322" spans="1:6" ht="15" customHeight="1" x14ac:dyDescent="0.2">
      <c r="A322" s="19" t="s">
        <v>461</v>
      </c>
      <c r="B322" s="227"/>
      <c r="C322" s="221">
        <v>19877572</v>
      </c>
      <c r="D322" s="8"/>
      <c r="E322" s="8"/>
      <c r="F322" s="8"/>
    </row>
    <row r="323" spans="1:6" ht="15" customHeight="1" x14ac:dyDescent="0.2">
      <c r="A323" s="228" t="s">
        <v>462</v>
      </c>
      <c r="B323" s="229"/>
      <c r="C323" s="222"/>
      <c r="D323" s="8"/>
      <c r="E323" s="8"/>
      <c r="F323" s="8"/>
    </row>
    <row r="324" spans="1:6" ht="15" customHeight="1" x14ac:dyDescent="0.2">
      <c r="A324" s="24" t="s">
        <v>463</v>
      </c>
      <c r="B324" s="229"/>
      <c r="C324" s="222"/>
      <c r="D324" s="8"/>
      <c r="E324" s="8"/>
      <c r="F324" s="8"/>
    </row>
    <row r="325" spans="1:6" ht="15" customHeight="1" x14ac:dyDescent="0.2">
      <c r="A325" s="24" t="s">
        <v>464</v>
      </c>
      <c r="B325" s="229"/>
      <c r="C325" s="222"/>
      <c r="D325" s="8"/>
      <c r="E325" s="8"/>
      <c r="F325" s="8"/>
    </row>
    <row r="326" spans="1:6" ht="15" customHeight="1" x14ac:dyDescent="0.2">
      <c r="A326" s="228" t="s">
        <v>465</v>
      </c>
      <c r="B326" s="229"/>
      <c r="C326" s="222"/>
      <c r="D326" s="8"/>
      <c r="E326" s="8"/>
      <c r="F326" s="8"/>
    </row>
    <row r="327" spans="1:6" ht="15" customHeight="1" x14ac:dyDescent="0.2">
      <c r="A327" s="228" t="s">
        <v>466</v>
      </c>
      <c r="B327" s="229"/>
      <c r="C327" s="222"/>
      <c r="D327" s="8"/>
      <c r="E327" s="8"/>
      <c r="F327" s="8"/>
    </row>
    <row r="328" spans="1:6" ht="15" customHeight="1" x14ac:dyDescent="0.2">
      <c r="A328" s="230" t="s">
        <v>467</v>
      </c>
      <c r="B328" s="231"/>
      <c r="C328" s="232">
        <v>38059652</v>
      </c>
      <c r="D328" s="8"/>
      <c r="E328" s="8"/>
      <c r="F328" s="8"/>
    </row>
    <row r="329" spans="1:6" ht="15" customHeight="1" x14ac:dyDescent="0.2">
      <c r="A329" s="44"/>
      <c r="B329" s="233" t="s">
        <v>468</v>
      </c>
      <c r="C329" s="163">
        <f>SUM(C321:C328)</f>
        <v>57937224</v>
      </c>
      <c r="D329" s="8"/>
      <c r="E329" s="8"/>
      <c r="F329" s="8"/>
    </row>
    <row r="330" spans="1:6" ht="12.75" x14ac:dyDescent="0.2">
      <c r="A330" s="8"/>
      <c r="B330" s="8"/>
      <c r="C330" s="8"/>
      <c r="D330" s="8"/>
      <c r="E330" s="8"/>
      <c r="F330" s="5"/>
    </row>
    <row r="331" spans="1:6" ht="12.75" x14ac:dyDescent="0.2">
      <c r="A331" s="8"/>
      <c r="B331" s="8"/>
      <c r="C331" s="8"/>
      <c r="D331" s="8"/>
      <c r="E331" s="8"/>
      <c r="F331" s="5"/>
    </row>
    <row r="332" spans="1:6" ht="12.75" x14ac:dyDescent="0.2">
      <c r="A332" s="8"/>
      <c r="B332" s="8"/>
      <c r="C332" s="8"/>
      <c r="D332" s="8"/>
      <c r="E332" s="8"/>
      <c r="F332" s="5"/>
    </row>
    <row r="333" spans="1:6" ht="12.75" x14ac:dyDescent="0.2">
      <c r="A333" s="183"/>
      <c r="B333" s="183"/>
      <c r="C333" s="183"/>
      <c r="D333" s="183"/>
      <c r="E333" s="183"/>
      <c r="F333" s="212"/>
    </row>
    <row r="334" spans="1:6" ht="12.75" x14ac:dyDescent="0.2">
      <c r="A334" s="183"/>
      <c r="B334" s="183"/>
      <c r="C334" s="183"/>
      <c r="D334" s="183"/>
      <c r="E334" s="245" t="str">
        <f>[10]NOMBRE!B12</f>
        <v>SRA. MARIA INES NUÑEZ  GONZALEZ</v>
      </c>
      <c r="F334" s="245"/>
    </row>
    <row r="335" spans="1:6" ht="12.75" x14ac:dyDescent="0.2">
      <c r="A335" s="183"/>
      <c r="B335" s="183"/>
      <c r="C335" s="183"/>
      <c r="D335" s="185"/>
      <c r="E335" s="238" t="str">
        <f>[10]NOMBRE!A12</f>
        <v>Jefe de Estadisticas</v>
      </c>
      <c r="F335" s="238"/>
    </row>
    <row r="336" spans="1:6" ht="12.75" x14ac:dyDescent="0.2">
      <c r="A336" s="183"/>
      <c r="B336" s="183"/>
      <c r="C336" s="183"/>
      <c r="D336" s="183"/>
      <c r="E336" s="234"/>
      <c r="F336" s="235"/>
    </row>
    <row r="337" spans="1:6" ht="12.75" x14ac:dyDescent="0.2">
      <c r="A337" s="183"/>
      <c r="B337" s="183"/>
      <c r="C337" s="183"/>
      <c r="D337" s="183"/>
      <c r="E337" s="235"/>
      <c r="F337" s="235"/>
    </row>
    <row r="338" spans="1:6" ht="12.75" x14ac:dyDescent="0.2">
      <c r="A338" s="183"/>
      <c r="B338" s="183"/>
      <c r="C338" s="183"/>
      <c r="D338" s="183"/>
      <c r="E338" s="235"/>
      <c r="F338" s="235"/>
    </row>
    <row r="339" spans="1:6" ht="12.75" x14ac:dyDescent="0.2">
      <c r="A339" s="183"/>
      <c r="B339" s="183"/>
      <c r="C339" s="183"/>
      <c r="D339" s="183"/>
      <c r="E339" s="235"/>
      <c r="F339" s="235"/>
    </row>
    <row r="340" spans="1:6" ht="12.75" x14ac:dyDescent="0.2">
      <c r="A340" s="183"/>
      <c r="B340" s="183"/>
      <c r="C340" s="183"/>
      <c r="D340" s="183"/>
      <c r="E340" s="235"/>
      <c r="F340" s="235"/>
    </row>
    <row r="341" spans="1:6" ht="12.75" x14ac:dyDescent="0.2">
      <c r="A341" s="183"/>
      <c r="B341" s="183"/>
      <c r="C341" s="183"/>
      <c r="D341" s="183"/>
      <c r="E341" s="235"/>
      <c r="F341" s="235"/>
    </row>
    <row r="342" spans="1:6" ht="12.75" x14ac:dyDescent="0.2">
      <c r="A342" s="183"/>
      <c r="B342" s="183"/>
      <c r="C342" s="183"/>
      <c r="D342" s="183"/>
      <c r="E342" s="235"/>
      <c r="F342" s="235"/>
    </row>
    <row r="343" spans="1:6" ht="12.75" x14ac:dyDescent="0.2">
      <c r="A343" s="183"/>
      <c r="B343" s="183"/>
      <c r="C343" s="183"/>
      <c r="D343" s="183"/>
      <c r="E343" s="245" t="str">
        <f>[10]NOMBRE!B11</f>
        <v xml:space="preserve">DR.  RUBEN BRAVO CASTILLO </v>
      </c>
      <c r="F343" s="245"/>
    </row>
    <row r="344" spans="1:6" ht="22.5" customHeight="1" x14ac:dyDescent="0.2">
      <c r="A344" s="183"/>
      <c r="B344" s="183"/>
      <c r="C344" s="183"/>
      <c r="D344" s="212"/>
      <c r="E344" s="238" t="str">
        <f>CONCATENATE("Director ",[10]NOMBRE!B1)</f>
        <v xml:space="preserve">Director </v>
      </c>
      <c r="F344" s="238"/>
    </row>
    <row r="345" spans="1:6" ht="12.75" x14ac:dyDescent="0.2">
      <c r="A345" s="183"/>
      <c r="B345" s="183"/>
      <c r="C345" s="183"/>
      <c r="D345" s="236"/>
      <c r="E345" s="183"/>
      <c r="F345" s="212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27:E227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0:E170"/>
    <mergeCell ref="A206:E206"/>
    <mergeCell ref="A220:C220"/>
    <mergeCell ref="B311:D311"/>
    <mergeCell ref="A234:E234"/>
    <mergeCell ref="A238:E238"/>
    <mergeCell ref="A254:E254"/>
    <mergeCell ref="A273:E273"/>
    <mergeCell ref="A283:E283"/>
    <mergeCell ref="A293:E293"/>
    <mergeCell ref="B302:C302"/>
    <mergeCell ref="A305:E305"/>
    <mergeCell ref="B306:D306"/>
    <mergeCell ref="A309:E309"/>
    <mergeCell ref="A310:D310"/>
    <mergeCell ref="E344:F344"/>
    <mergeCell ref="A314:C314"/>
    <mergeCell ref="A315:C315"/>
    <mergeCell ref="A316:B316"/>
    <mergeCell ref="E334:F334"/>
    <mergeCell ref="E335:F335"/>
    <mergeCell ref="E343:F34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workbookViewId="0">
      <selection sqref="A1:XFD1048576"/>
    </sheetView>
  </sheetViews>
  <sheetFormatPr baseColWidth="10" defaultRowHeight="10.5" x14ac:dyDescent="0.15"/>
  <cols>
    <col min="1" max="1" width="15" style="4" customWidth="1"/>
    <col min="2" max="2" width="74" style="4" customWidth="1"/>
    <col min="3" max="5" width="21.42578125" style="4" customWidth="1"/>
    <col min="6" max="6" width="19.5703125" style="237" customWidth="1"/>
    <col min="7" max="7" width="2.42578125" style="4" customWidth="1"/>
    <col min="8" max="9" width="5.140625" style="4" customWidth="1"/>
    <col min="10" max="256" width="11.42578125" style="4"/>
    <col min="257" max="257" width="15" style="4" customWidth="1"/>
    <col min="258" max="258" width="74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15" style="4" customWidth="1"/>
    <col min="514" max="514" width="74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15" style="4" customWidth="1"/>
    <col min="770" max="770" width="74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15" style="4" customWidth="1"/>
    <col min="1026" max="1026" width="74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15" style="4" customWidth="1"/>
    <col min="1282" max="1282" width="74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15" style="4" customWidth="1"/>
    <col min="1538" max="1538" width="74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15" style="4" customWidth="1"/>
    <col min="1794" max="1794" width="74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15" style="4" customWidth="1"/>
    <col min="2050" max="2050" width="74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15" style="4" customWidth="1"/>
    <col min="2306" max="2306" width="74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15" style="4" customWidth="1"/>
    <col min="2562" max="2562" width="74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15" style="4" customWidth="1"/>
    <col min="2818" max="2818" width="74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15" style="4" customWidth="1"/>
    <col min="3074" max="3074" width="74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15" style="4" customWidth="1"/>
    <col min="3330" max="3330" width="74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15" style="4" customWidth="1"/>
    <col min="3586" max="3586" width="74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15" style="4" customWidth="1"/>
    <col min="3842" max="3842" width="74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15" style="4" customWidth="1"/>
    <col min="4098" max="4098" width="74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15" style="4" customWidth="1"/>
    <col min="4354" max="4354" width="74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15" style="4" customWidth="1"/>
    <col min="4610" max="4610" width="74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15" style="4" customWidth="1"/>
    <col min="4866" max="4866" width="74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15" style="4" customWidth="1"/>
    <col min="5122" max="5122" width="74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15" style="4" customWidth="1"/>
    <col min="5378" max="5378" width="74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15" style="4" customWidth="1"/>
    <col min="5634" max="5634" width="74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15" style="4" customWidth="1"/>
    <col min="5890" max="5890" width="74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15" style="4" customWidth="1"/>
    <col min="6146" max="6146" width="74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15" style="4" customWidth="1"/>
    <col min="6402" max="6402" width="74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15" style="4" customWidth="1"/>
    <col min="6658" max="6658" width="74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15" style="4" customWidth="1"/>
    <col min="6914" max="6914" width="74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15" style="4" customWidth="1"/>
    <col min="7170" max="7170" width="74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15" style="4" customWidth="1"/>
    <col min="7426" max="7426" width="74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15" style="4" customWidth="1"/>
    <col min="7682" max="7682" width="74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15" style="4" customWidth="1"/>
    <col min="7938" max="7938" width="74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15" style="4" customWidth="1"/>
    <col min="8194" max="8194" width="74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15" style="4" customWidth="1"/>
    <col min="8450" max="8450" width="74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15" style="4" customWidth="1"/>
    <col min="8706" max="8706" width="74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15" style="4" customWidth="1"/>
    <col min="8962" max="8962" width="74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15" style="4" customWidth="1"/>
    <col min="9218" max="9218" width="74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15" style="4" customWidth="1"/>
    <col min="9474" max="9474" width="74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15" style="4" customWidth="1"/>
    <col min="9730" max="9730" width="74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15" style="4" customWidth="1"/>
    <col min="9986" max="9986" width="74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15" style="4" customWidth="1"/>
    <col min="10242" max="10242" width="74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15" style="4" customWidth="1"/>
    <col min="10498" max="10498" width="74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15" style="4" customWidth="1"/>
    <col min="10754" max="10754" width="74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15" style="4" customWidth="1"/>
    <col min="11010" max="11010" width="74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15" style="4" customWidth="1"/>
    <col min="11266" max="11266" width="74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15" style="4" customWidth="1"/>
    <col min="11522" max="11522" width="74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15" style="4" customWidth="1"/>
    <col min="11778" max="11778" width="74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15" style="4" customWidth="1"/>
    <col min="12034" max="12034" width="74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15" style="4" customWidth="1"/>
    <col min="12290" max="12290" width="74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15" style="4" customWidth="1"/>
    <col min="12546" max="12546" width="74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15" style="4" customWidth="1"/>
    <col min="12802" max="12802" width="74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15" style="4" customWidth="1"/>
    <col min="13058" max="13058" width="74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15" style="4" customWidth="1"/>
    <col min="13314" max="13314" width="74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15" style="4" customWidth="1"/>
    <col min="13570" max="13570" width="74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15" style="4" customWidth="1"/>
    <col min="13826" max="13826" width="74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15" style="4" customWidth="1"/>
    <col min="14082" max="14082" width="74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15" style="4" customWidth="1"/>
    <col min="14338" max="14338" width="74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15" style="4" customWidth="1"/>
    <col min="14594" max="14594" width="74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15" style="4" customWidth="1"/>
    <col min="14850" max="14850" width="74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15" style="4" customWidth="1"/>
    <col min="15106" max="15106" width="74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15" style="4" customWidth="1"/>
    <col min="15362" max="15362" width="74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15" style="4" customWidth="1"/>
    <col min="15618" max="15618" width="74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15" style="4" customWidth="1"/>
    <col min="15874" max="15874" width="74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15" style="4" customWidth="1"/>
    <col min="16130" max="16130" width="74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271" t="s">
        <v>1</v>
      </c>
      <c r="D1" s="272"/>
      <c r="E1" s="273"/>
      <c r="F1" s="3"/>
    </row>
    <row r="2" spans="1:7" ht="12.75" x14ac:dyDescent="0.2">
      <c r="A2" s="1" t="str">
        <f>CONCATENATE("COMUNA: ",[11]NOMBRE!B2," - ","( ",[11]NOMBRE!C2,[11]NOMBRE!D2,[11]NOMBRE!E2,[11]NOMBRE!F2,[11]NOMBRE!G2," )")</f>
        <v>COMUNA: LINARES  - ( 07401 )</v>
      </c>
      <c r="B2" s="2"/>
      <c r="C2" s="268"/>
      <c r="D2" s="269"/>
      <c r="E2" s="270"/>
      <c r="F2" s="5"/>
      <c r="G2" s="6"/>
    </row>
    <row r="3" spans="1:7" ht="12.75" x14ac:dyDescent="0.2">
      <c r="A3" s="1" t="str">
        <f>CONCATENATE("ESTABLECIMIENTO: ",[11]NOMBRE!B3," - ","( ",[11]NOMBRE!C3,[11]NOMBRE!D3,[11]NOMBRE!E3,[11]NOMBRE!F3,[11]NOMBRE!G3," )")</f>
        <v>ESTABLECIMIENTO: HOSPITAL DE LINARES  - ( 16108 )</v>
      </c>
      <c r="B3" s="2"/>
      <c r="C3" s="271" t="s">
        <v>2</v>
      </c>
      <c r="D3" s="272"/>
      <c r="E3" s="273"/>
      <c r="F3" s="5"/>
      <c r="G3" s="7"/>
    </row>
    <row r="4" spans="1:7" ht="12.75" x14ac:dyDescent="0.2">
      <c r="A4" s="1" t="str">
        <f>CONCATENATE("MES: ",[11]NOMBRE!B6," - ","( ",[11]NOMBRE!C6,[11]NOMBRE!D6," )")</f>
        <v>MES: NOVIEMBRE - ( 11 )</v>
      </c>
      <c r="B4" s="2"/>
      <c r="C4" s="268" t="str">
        <f>CONCATENATE([11]NOMBRE!B6," ","( ",[11]NOMBRE!C6,[11]NOMBRE!D6," )")</f>
        <v>NOVIEMBRE ( 11 )</v>
      </c>
      <c r="D4" s="269"/>
      <c r="E4" s="270"/>
      <c r="F4" s="5"/>
      <c r="G4" s="7"/>
    </row>
    <row r="5" spans="1:7" ht="12.75" x14ac:dyDescent="0.2">
      <c r="A5" s="1" t="str">
        <f>CONCATENATE("AÑO: ",[11]NOMBRE!B7)</f>
        <v>AÑO: 2011</v>
      </c>
      <c r="B5" s="2"/>
      <c r="C5" s="271" t="s">
        <v>3</v>
      </c>
      <c r="D5" s="272"/>
      <c r="E5" s="273"/>
      <c r="F5" s="5"/>
      <c r="G5" s="7"/>
    </row>
    <row r="6" spans="1:7" ht="12.75" x14ac:dyDescent="0.2">
      <c r="A6" s="8"/>
      <c r="B6" s="8"/>
      <c r="C6" s="268">
        <f>[11]NOMBRE!B7</f>
        <v>2011</v>
      </c>
      <c r="D6" s="269"/>
      <c r="E6" s="270"/>
      <c r="F6" s="5"/>
      <c r="G6" s="7"/>
    </row>
    <row r="7" spans="1:7" ht="12.75" x14ac:dyDescent="0.2">
      <c r="A7" s="263" t="s">
        <v>4</v>
      </c>
      <c r="B7" s="264"/>
      <c r="C7" s="265" t="s">
        <v>5</v>
      </c>
      <c r="D7" s="266"/>
      <c r="E7" s="267"/>
      <c r="F7" s="5"/>
      <c r="G7" s="7"/>
    </row>
    <row r="8" spans="1:7" ht="12.75" x14ac:dyDescent="0.2">
      <c r="A8" s="8"/>
      <c r="B8" s="9" t="s">
        <v>6</v>
      </c>
      <c r="C8" s="268" t="str">
        <f>CONCATENATE([11]NOMBRE!B3," ","( ",[11]NOMBRE!C3,[11]NOMBRE!D3,[11]NOMBRE!E3,[11]NOMBRE!F3,[11]NOMBRE!G3," )")</f>
        <v>HOSPITAL DE LINARES  ( 16108 )</v>
      </c>
      <c r="D8" s="269"/>
      <c r="E8" s="270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256" t="s">
        <v>7</v>
      </c>
      <c r="B11" s="252"/>
      <c r="C11" s="252"/>
      <c r="D11" s="252"/>
      <c r="E11" s="253"/>
      <c r="F11" s="5"/>
    </row>
    <row r="12" spans="1:7" ht="43.5" customHeight="1" x14ac:dyDescent="0.2">
      <c r="A12" s="11" t="s">
        <v>8</v>
      </c>
      <c r="B12" s="11" t="s">
        <v>9</v>
      </c>
      <c r="C12" s="12" t="s">
        <v>10</v>
      </c>
      <c r="D12" s="13" t="s">
        <v>11</v>
      </c>
      <c r="E12" s="14" t="s">
        <v>12</v>
      </c>
      <c r="F12" s="8"/>
    </row>
    <row r="13" spans="1:7" ht="12.75" customHeight="1" x14ac:dyDescent="0.2">
      <c r="A13" s="242" t="s">
        <v>13</v>
      </c>
      <c r="B13" s="243"/>
      <c r="C13" s="243"/>
      <c r="D13" s="243"/>
      <c r="E13" s="244"/>
      <c r="F13" s="8"/>
    </row>
    <row r="14" spans="1:7" ht="15" customHeight="1" x14ac:dyDescent="0.2">
      <c r="A14" s="17" t="s">
        <v>14</v>
      </c>
      <c r="B14" s="18" t="s">
        <v>15</v>
      </c>
      <c r="C14" s="19">
        <f>[11]BS17A!$D13</f>
        <v>0</v>
      </c>
      <c r="D14" s="20">
        <f>[11]BS17A!$U13</f>
        <v>3830</v>
      </c>
      <c r="E14" s="21">
        <f>[11]BS17A!$V13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24">
        <f>[11]BS17A!$D14</f>
        <v>0</v>
      </c>
      <c r="D15" s="25">
        <f>[11]BS17A!$U14</f>
        <v>4820</v>
      </c>
      <c r="E15" s="26">
        <f>[11]BS17A!$V14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24">
        <f>[11]BS17A!$D15</f>
        <v>8829</v>
      </c>
      <c r="D16" s="25">
        <f>[11]BS17A!$U15</f>
        <v>10320</v>
      </c>
      <c r="E16" s="26">
        <f>[11]BS17A!$V15</f>
        <v>91115280</v>
      </c>
      <c r="F16" s="8"/>
    </row>
    <row r="17" spans="1:6" ht="15" customHeight="1" x14ac:dyDescent="0.2">
      <c r="A17" s="22" t="s">
        <v>20</v>
      </c>
      <c r="B17" s="23" t="s">
        <v>21</v>
      </c>
      <c r="C17" s="24">
        <f>[11]BS17A!$D16</f>
        <v>0</v>
      </c>
      <c r="D17" s="25">
        <f>[11]BS17A!$U16</f>
        <v>6170</v>
      </c>
      <c r="E17" s="26">
        <f>[11]BS17A!$V16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24">
        <f>[11]BS17A!$D17</f>
        <v>0</v>
      </c>
      <c r="D18" s="25">
        <f>[11]BS17A!$U17</f>
        <v>6770</v>
      </c>
      <c r="E18" s="26">
        <f>[11]BS17A!$V17</f>
        <v>0</v>
      </c>
      <c r="F18" s="8"/>
    </row>
    <row r="19" spans="1:6" ht="33" customHeight="1" x14ac:dyDescent="0.2">
      <c r="A19" s="22" t="s">
        <v>24</v>
      </c>
      <c r="B19" s="27" t="s">
        <v>25</v>
      </c>
      <c r="C19" s="24">
        <f>[11]BS17A!$D20</f>
        <v>0</v>
      </c>
      <c r="D19" s="25">
        <f>[11]BS17A!$U20</f>
        <v>5210</v>
      </c>
      <c r="E19" s="26">
        <f>[11]BS17A!$V20</f>
        <v>0</v>
      </c>
      <c r="F19" s="8"/>
    </row>
    <row r="20" spans="1:6" ht="42.75" customHeight="1" x14ac:dyDescent="0.2">
      <c r="A20" s="22" t="s">
        <v>26</v>
      </c>
      <c r="B20" s="27" t="s">
        <v>27</v>
      </c>
      <c r="C20" s="24">
        <f>[11]BS17A!$D21</f>
        <v>0</v>
      </c>
      <c r="D20" s="25">
        <f>[11]BS17A!$U21</f>
        <v>6250</v>
      </c>
      <c r="E20" s="26">
        <f>[11]BS17A!$V21</f>
        <v>0</v>
      </c>
      <c r="F20" s="8"/>
    </row>
    <row r="21" spans="1:6" ht="42.75" customHeight="1" x14ac:dyDescent="0.2">
      <c r="A21" s="22" t="s">
        <v>28</v>
      </c>
      <c r="B21" s="27" t="s">
        <v>29</v>
      </c>
      <c r="C21" s="24">
        <f>[11]BS17A!$D22</f>
        <v>0</v>
      </c>
      <c r="D21" s="25">
        <f>[11]BS17A!$U22</f>
        <v>7760</v>
      </c>
      <c r="E21" s="26">
        <f>[11]BS17A!$V22</f>
        <v>0</v>
      </c>
      <c r="F21" s="8"/>
    </row>
    <row r="22" spans="1:6" ht="32.25" customHeight="1" x14ac:dyDescent="0.2">
      <c r="A22" s="22" t="s">
        <v>30</v>
      </c>
      <c r="B22" s="27" t="s">
        <v>31</v>
      </c>
      <c r="C22" s="24">
        <f>[11]BS17A!$D23</f>
        <v>1700</v>
      </c>
      <c r="D22" s="25">
        <f>[11]BS17A!$U23</f>
        <v>5210</v>
      </c>
      <c r="E22" s="26">
        <f>[11]BS17A!$V23</f>
        <v>8857000</v>
      </c>
      <c r="F22" s="8"/>
    </row>
    <row r="23" spans="1:6" ht="40.5" customHeight="1" x14ac:dyDescent="0.2">
      <c r="A23" s="22" t="s">
        <v>32</v>
      </c>
      <c r="B23" s="27" t="s">
        <v>33</v>
      </c>
      <c r="C23" s="24">
        <f>[11]BS17A!$D24</f>
        <v>589</v>
      </c>
      <c r="D23" s="25">
        <f>[11]BS17A!$U24</f>
        <v>6250</v>
      </c>
      <c r="E23" s="26">
        <f>[11]BS17A!$V24</f>
        <v>3681250</v>
      </c>
      <c r="F23" s="8"/>
    </row>
    <row r="24" spans="1:6" ht="27" customHeight="1" x14ac:dyDescent="0.2">
      <c r="A24" s="22" t="s">
        <v>34</v>
      </c>
      <c r="B24" s="27" t="s">
        <v>35</v>
      </c>
      <c r="C24" s="24">
        <f>[11]BS17A!$D25</f>
        <v>2190</v>
      </c>
      <c r="D24" s="25">
        <f>[11]BS17A!$U25</f>
        <v>7760</v>
      </c>
      <c r="E24" s="26">
        <f>[11]BS17A!$V25</f>
        <v>16994400</v>
      </c>
      <c r="F24" s="8"/>
    </row>
    <row r="25" spans="1:6" ht="15" customHeight="1" x14ac:dyDescent="0.2">
      <c r="A25" s="22" t="s">
        <v>36</v>
      </c>
      <c r="B25" s="28" t="s">
        <v>37</v>
      </c>
      <c r="C25" s="24">
        <f>+[11]BS17A!$D791</f>
        <v>158</v>
      </c>
      <c r="D25" s="25">
        <f>+[11]BS17A!$U791</f>
        <v>6330</v>
      </c>
      <c r="E25" s="26">
        <f>+[11]BS17A!$V791</f>
        <v>1000140</v>
      </c>
      <c r="F25" s="8"/>
    </row>
    <row r="26" spans="1:6" ht="15" customHeight="1" x14ac:dyDescent="0.2">
      <c r="A26" s="29" t="s">
        <v>38</v>
      </c>
      <c r="B26" s="30" t="s">
        <v>39</v>
      </c>
      <c r="C26" s="31">
        <f>+[11]BS17A!$D796</f>
        <v>0</v>
      </c>
      <c r="D26" s="32">
        <f>+[11]BS17A!$U796</f>
        <v>26240</v>
      </c>
      <c r="E26" s="33">
        <f>+[11]BS17A!$V796</f>
        <v>0</v>
      </c>
      <c r="F26" s="8"/>
    </row>
    <row r="27" spans="1:6" ht="18" customHeight="1" x14ac:dyDescent="0.2">
      <c r="A27" s="242" t="s">
        <v>40</v>
      </c>
      <c r="B27" s="243"/>
      <c r="C27" s="243"/>
      <c r="D27" s="243"/>
      <c r="E27" s="244"/>
      <c r="F27" s="8"/>
    </row>
    <row r="28" spans="1:6" ht="15" customHeight="1" x14ac:dyDescent="0.2">
      <c r="A28" s="17" t="s">
        <v>41</v>
      </c>
      <c r="B28" s="18" t="s">
        <v>42</v>
      </c>
      <c r="C28" s="19">
        <f>[11]BS17A!$D27</f>
        <v>1694</v>
      </c>
      <c r="D28" s="20">
        <f>[11]BS17A!$U27</f>
        <v>1020</v>
      </c>
      <c r="E28" s="21">
        <f>[11]BS17A!$V27</f>
        <v>1727880</v>
      </c>
      <c r="F28" s="8"/>
    </row>
    <row r="29" spans="1:6" ht="15" customHeight="1" x14ac:dyDescent="0.2">
      <c r="A29" s="22" t="s">
        <v>43</v>
      </c>
      <c r="B29" s="34" t="s">
        <v>44</v>
      </c>
      <c r="C29" s="24">
        <f>[11]BS17A!$D28</f>
        <v>0</v>
      </c>
      <c r="D29" s="25">
        <f>[11]BS17A!$U28</f>
        <v>1740</v>
      </c>
      <c r="E29" s="26">
        <f>[11]BS17A!$V28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24">
        <f>[11]BS17A!$D29</f>
        <v>0</v>
      </c>
      <c r="D30" s="25">
        <f>[11]BS17A!$U29</f>
        <v>550</v>
      </c>
      <c r="E30" s="26">
        <f>[11]BS17A!$V29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24">
        <f>[11]BS17A!$D30</f>
        <v>38</v>
      </c>
      <c r="D31" s="25">
        <f>[11]BS17A!$U30</f>
        <v>1380</v>
      </c>
      <c r="E31" s="26">
        <f>[11]BS17A!$V30</f>
        <v>52440</v>
      </c>
      <c r="F31" s="8"/>
    </row>
    <row r="32" spans="1:6" ht="15" customHeight="1" x14ac:dyDescent="0.2">
      <c r="A32" s="22" t="s">
        <v>49</v>
      </c>
      <c r="B32" s="23" t="s">
        <v>50</v>
      </c>
      <c r="C32" s="24">
        <f>[11]BS17A!$D31</f>
        <v>1186</v>
      </c>
      <c r="D32" s="25">
        <f>[11]BS17A!$U31</f>
        <v>1110</v>
      </c>
      <c r="E32" s="26">
        <f>[11]BS17A!$V31</f>
        <v>1316460</v>
      </c>
      <c r="F32" s="8"/>
    </row>
    <row r="33" spans="1:6" ht="15" customHeight="1" x14ac:dyDescent="0.2">
      <c r="A33" s="22" t="s">
        <v>51</v>
      </c>
      <c r="B33" s="34" t="s">
        <v>52</v>
      </c>
      <c r="C33" s="24">
        <f>[11]BS17A!$D32</f>
        <v>0</v>
      </c>
      <c r="D33" s="25">
        <f>[11]BS17A!$U32</f>
        <v>1020</v>
      </c>
      <c r="E33" s="26">
        <f>[11]BS17A!$V32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24">
        <f>+[11]BS17A!$D792</f>
        <v>0</v>
      </c>
      <c r="D34" s="25">
        <f>+[11]BS17A!$U792</f>
        <v>2480</v>
      </c>
      <c r="E34" s="26">
        <f>+[11]BS17A!$V792</f>
        <v>0</v>
      </c>
      <c r="F34" s="8"/>
    </row>
    <row r="35" spans="1:6" ht="15" customHeight="1" x14ac:dyDescent="0.2">
      <c r="A35" s="22" t="s">
        <v>55</v>
      </c>
      <c r="B35" s="34" t="s">
        <v>56</v>
      </c>
      <c r="C35" s="24">
        <f>+[11]BS17A!$D793</f>
        <v>686</v>
      </c>
      <c r="D35" s="25">
        <f>+[11]BS17A!$U793</f>
        <v>2480</v>
      </c>
      <c r="E35" s="26">
        <f>+[11]BS17A!$V793</f>
        <v>1701280</v>
      </c>
      <c r="F35" s="8"/>
    </row>
    <row r="36" spans="1:6" ht="15" customHeight="1" x14ac:dyDescent="0.2">
      <c r="A36" s="22" t="s">
        <v>57</v>
      </c>
      <c r="B36" s="34" t="s">
        <v>58</v>
      </c>
      <c r="C36" s="24">
        <f>+[11]BS17A!$D794</f>
        <v>0</v>
      </c>
      <c r="D36" s="25">
        <f>+[11]BS17A!$U794</f>
        <v>9880</v>
      </c>
      <c r="E36" s="26">
        <f>+[11]BS17A!$V794</f>
        <v>0</v>
      </c>
      <c r="F36" s="8"/>
    </row>
    <row r="37" spans="1:6" ht="15" customHeight="1" x14ac:dyDescent="0.2">
      <c r="A37" s="29" t="s">
        <v>59</v>
      </c>
      <c r="B37" s="35" t="s">
        <v>60</v>
      </c>
      <c r="C37" s="31">
        <f>+[11]BS17A!$D795</f>
        <v>10</v>
      </c>
      <c r="D37" s="32">
        <f>+[11]BS17A!$U795</f>
        <v>11570</v>
      </c>
      <c r="E37" s="33">
        <f>+[11]BS17A!$V795</f>
        <v>115700</v>
      </c>
      <c r="F37" s="8"/>
    </row>
    <row r="38" spans="1:6" ht="18" customHeight="1" x14ac:dyDescent="0.2">
      <c r="A38" s="251" t="s">
        <v>61</v>
      </c>
      <c r="B38" s="254"/>
      <c r="C38" s="254"/>
      <c r="D38" s="254"/>
      <c r="E38" s="255"/>
      <c r="F38" s="8"/>
    </row>
    <row r="39" spans="1:6" ht="15" customHeight="1" x14ac:dyDescent="0.2">
      <c r="A39" s="17" t="s">
        <v>62</v>
      </c>
      <c r="B39" s="36" t="s">
        <v>63</v>
      </c>
      <c r="C39" s="19">
        <f>+[11]BS17A!$D797</f>
        <v>0</v>
      </c>
      <c r="D39" s="37">
        <f>+[11]BS17A!$U797</f>
        <v>2882</v>
      </c>
      <c r="E39" s="38">
        <f>+[11]BS17A!$V797</f>
        <v>0</v>
      </c>
      <c r="F39" s="8"/>
    </row>
    <row r="40" spans="1:6" ht="15" customHeight="1" x14ac:dyDescent="0.2">
      <c r="A40" s="29" t="s">
        <v>64</v>
      </c>
      <c r="B40" s="39" t="s">
        <v>65</v>
      </c>
      <c r="C40" s="31">
        <f>+[11]BS17A!$D798</f>
        <v>0</v>
      </c>
      <c r="D40" s="40">
        <f>+[11]BS17A!$U798</f>
        <v>6766</v>
      </c>
      <c r="E40" s="41">
        <f>+[11]BS17A!$V798</f>
        <v>0</v>
      </c>
      <c r="F40" s="8"/>
    </row>
    <row r="41" spans="1:6" ht="18" customHeight="1" x14ac:dyDescent="0.2">
      <c r="A41" s="251" t="s">
        <v>66</v>
      </c>
      <c r="B41" s="254"/>
      <c r="C41" s="254"/>
      <c r="D41" s="254"/>
      <c r="E41" s="255"/>
      <c r="F41" s="8"/>
    </row>
    <row r="42" spans="1:6" ht="15" customHeight="1" x14ac:dyDescent="0.2">
      <c r="A42" s="17" t="s">
        <v>67</v>
      </c>
      <c r="B42" s="42" t="s">
        <v>68</v>
      </c>
      <c r="C42" s="19">
        <f>+[11]BS17A!$D34</f>
        <v>0</v>
      </c>
      <c r="D42" s="37">
        <f>+[11]BS17A!$U34</f>
        <v>3340</v>
      </c>
      <c r="E42" s="38">
        <f>+[11]BS17A!$V34</f>
        <v>0</v>
      </c>
      <c r="F42" s="8"/>
    </row>
    <row r="43" spans="1:6" ht="15" customHeight="1" x14ac:dyDescent="0.2">
      <c r="A43" s="22" t="s">
        <v>69</v>
      </c>
      <c r="B43" s="23" t="s">
        <v>70</v>
      </c>
      <c r="C43" s="24">
        <f>+[11]BS17A!$D35</f>
        <v>671</v>
      </c>
      <c r="D43" s="25">
        <f>+[11]BS17A!$U35</f>
        <v>1840</v>
      </c>
      <c r="E43" s="26">
        <f>+[11]BS17A!$V35</f>
        <v>1234640</v>
      </c>
      <c r="F43" s="8"/>
    </row>
    <row r="44" spans="1:6" ht="15" customHeight="1" x14ac:dyDescent="0.2">
      <c r="A44" s="22" t="s">
        <v>71</v>
      </c>
      <c r="B44" s="23" t="s">
        <v>72</v>
      </c>
      <c r="C44" s="24">
        <f>+[11]BS17A!$D36</f>
        <v>0</v>
      </c>
      <c r="D44" s="25">
        <f>+[11]BS17A!$U36</f>
        <v>1840</v>
      </c>
      <c r="E44" s="26">
        <f>+[11]BS17A!$V36</f>
        <v>0</v>
      </c>
      <c r="F44" s="8"/>
    </row>
    <row r="45" spans="1:6" ht="15" customHeight="1" x14ac:dyDescent="0.2">
      <c r="A45" s="29" t="s">
        <v>73</v>
      </c>
      <c r="B45" s="43" t="s">
        <v>74</v>
      </c>
      <c r="C45" s="31">
        <f>+[11]BS17A!$D37</f>
        <v>294</v>
      </c>
      <c r="D45" s="40">
        <f>+[11]BS17A!$U37</f>
        <v>550</v>
      </c>
      <c r="E45" s="41">
        <f>+[11]BS17A!$V37</f>
        <v>161700</v>
      </c>
      <c r="F45" s="8"/>
    </row>
    <row r="46" spans="1:6" ht="18" customHeight="1" x14ac:dyDescent="0.2">
      <c r="A46" s="251" t="s">
        <v>75</v>
      </c>
      <c r="B46" s="254"/>
      <c r="C46" s="254"/>
      <c r="D46" s="254"/>
      <c r="E46" s="255"/>
      <c r="F46" s="8"/>
    </row>
    <row r="47" spans="1:6" ht="15" customHeight="1" x14ac:dyDescent="0.2">
      <c r="A47" s="17" t="s">
        <v>76</v>
      </c>
      <c r="B47" s="42" t="s">
        <v>77</v>
      </c>
      <c r="C47" s="19">
        <f>+[11]BS17A!$D39</f>
        <v>11</v>
      </c>
      <c r="D47" s="37">
        <f>+[11]BS17A!$U39</f>
        <v>1590</v>
      </c>
      <c r="E47" s="38">
        <f>+[11]BS17A!$V39</f>
        <v>17490</v>
      </c>
      <c r="F47" s="8"/>
    </row>
    <row r="48" spans="1:6" ht="15" customHeight="1" x14ac:dyDescent="0.2">
      <c r="A48" s="22" t="s">
        <v>78</v>
      </c>
      <c r="B48" s="23" t="s">
        <v>79</v>
      </c>
      <c r="C48" s="24">
        <f>+[11]BS17A!$D40</f>
        <v>1</v>
      </c>
      <c r="D48" s="25">
        <f>+[11]BS17A!$U40</f>
        <v>1590</v>
      </c>
      <c r="E48" s="26">
        <f>+[11]BS17A!$V40</f>
        <v>1590</v>
      </c>
      <c r="F48" s="8"/>
    </row>
    <row r="49" spans="1:7" ht="15" customHeight="1" x14ac:dyDescent="0.2">
      <c r="A49" s="29" t="s">
        <v>80</v>
      </c>
      <c r="B49" s="43" t="s">
        <v>81</v>
      </c>
      <c r="C49" s="31">
        <f>+[11]BS17A!$D41</f>
        <v>0</v>
      </c>
      <c r="D49" s="40">
        <f>+[11]BS17A!$U41</f>
        <v>910</v>
      </c>
      <c r="E49" s="41">
        <f>+[11]BS17A!$V41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18057</v>
      </c>
      <c r="D50" s="46"/>
      <c r="E50" s="47">
        <f>SUM(E14:E49)</f>
        <v>127977250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251" t="s">
        <v>83</v>
      </c>
      <c r="B53" s="254"/>
      <c r="C53" s="254"/>
      <c r="D53" s="254"/>
      <c r="E53" s="255"/>
      <c r="F53" s="51"/>
      <c r="G53" s="52"/>
    </row>
    <row r="54" spans="1:7" ht="38.25" x14ac:dyDescent="0.2">
      <c r="A54" s="11" t="s">
        <v>8</v>
      </c>
      <c r="B54" s="11" t="s">
        <v>84</v>
      </c>
      <c r="C54" s="12" t="s">
        <v>10</v>
      </c>
      <c r="D54" s="53"/>
      <c r="E54" s="14" t="s">
        <v>12</v>
      </c>
      <c r="F54" s="8"/>
    </row>
    <row r="55" spans="1:7" ht="18" customHeight="1" x14ac:dyDescent="0.2">
      <c r="A55" s="54" t="s">
        <v>85</v>
      </c>
      <c r="B55" s="55" t="s">
        <v>86</v>
      </c>
      <c r="C55" s="56">
        <f>+[11]BS17!$D12</f>
        <v>49086</v>
      </c>
      <c r="D55" s="57"/>
      <c r="E55" s="58">
        <f>+E56+E57+E58+E59+E60+E61+E65+E66+E67</f>
        <v>62097710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+[11]BS17!$D13</f>
        <v>19237</v>
      </c>
      <c r="D56" s="61"/>
      <c r="E56" s="62">
        <f>+[11]BS17A!V83</f>
        <v>19217360</v>
      </c>
      <c r="F56" s="8"/>
    </row>
    <row r="57" spans="1:7" ht="15" customHeight="1" x14ac:dyDescent="0.2">
      <c r="A57" s="22" t="s">
        <v>89</v>
      </c>
      <c r="B57" s="28" t="s">
        <v>90</v>
      </c>
      <c r="C57" s="24">
        <f>+[11]BS17!$D14</f>
        <v>20817</v>
      </c>
      <c r="D57" s="63"/>
      <c r="E57" s="64">
        <f>+[11]BS17A!V174</f>
        <v>22112750</v>
      </c>
      <c r="F57" s="8"/>
    </row>
    <row r="58" spans="1:7" ht="15" customHeight="1" x14ac:dyDescent="0.2">
      <c r="A58" s="22" t="s">
        <v>91</v>
      </c>
      <c r="B58" s="28" t="s">
        <v>92</v>
      </c>
      <c r="C58" s="24">
        <f>+[11]BS17!$D15</f>
        <v>1021</v>
      </c>
      <c r="D58" s="63"/>
      <c r="E58" s="64">
        <f>+[11]BS17A!V243</f>
        <v>3270790</v>
      </c>
      <c r="F58" s="8"/>
    </row>
    <row r="59" spans="1:7" ht="15" customHeight="1" x14ac:dyDescent="0.2">
      <c r="A59" s="22" t="s">
        <v>93</v>
      </c>
      <c r="B59" s="28" t="s">
        <v>94</v>
      </c>
      <c r="C59" s="24">
        <f>+[11]BS17!$D16</f>
        <v>0</v>
      </c>
      <c r="D59" s="63"/>
      <c r="E59" s="64">
        <f>+[11]BS17A!V289</f>
        <v>0</v>
      </c>
      <c r="F59" s="8"/>
    </row>
    <row r="60" spans="1:7" ht="15" customHeight="1" x14ac:dyDescent="0.2">
      <c r="A60" s="65" t="s">
        <v>95</v>
      </c>
      <c r="B60" s="30" t="s">
        <v>96</v>
      </c>
      <c r="C60" s="66">
        <f>+[11]BS17!$D17</f>
        <v>1137</v>
      </c>
      <c r="D60" s="67"/>
      <c r="E60" s="68">
        <f>+[11]BS17A!V295</f>
        <v>4740390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+[11]BS17!$D18</f>
        <v>4331</v>
      </c>
      <c r="D61" s="71"/>
      <c r="E61" s="72">
        <f>SUM(E62:E64)</f>
        <v>9946280</v>
      </c>
      <c r="F61" s="8"/>
    </row>
    <row r="62" spans="1:7" ht="15" customHeight="1" x14ac:dyDescent="0.2">
      <c r="A62" s="73"/>
      <c r="B62" s="42" t="s">
        <v>99</v>
      </c>
      <c r="C62" s="19">
        <f>+[11]BS17!$D19</f>
        <v>3663</v>
      </c>
      <c r="D62" s="74"/>
      <c r="E62" s="75">
        <f>+[11]BS17A!V362</f>
        <v>7558430</v>
      </c>
      <c r="F62" s="8"/>
    </row>
    <row r="63" spans="1:7" ht="15" customHeight="1" x14ac:dyDescent="0.2">
      <c r="A63" s="73"/>
      <c r="B63" s="28" t="s">
        <v>100</v>
      </c>
      <c r="C63" s="24">
        <f>+[11]BS17!$D20</f>
        <v>88</v>
      </c>
      <c r="D63" s="63"/>
      <c r="E63" s="64">
        <f>+[11]BS17A!V405</f>
        <v>204530</v>
      </c>
      <c r="F63" s="8"/>
    </row>
    <row r="64" spans="1:7" ht="15" customHeight="1" x14ac:dyDescent="0.2">
      <c r="A64" s="76"/>
      <c r="B64" s="43" t="s">
        <v>101</v>
      </c>
      <c r="C64" s="31">
        <f>+[11]BS17!$D21</f>
        <v>580</v>
      </c>
      <c r="D64" s="77"/>
      <c r="E64" s="78">
        <f>+[11]BS17A!V428</f>
        <v>2183320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+[11]BS17!$D22</f>
        <v>0</v>
      </c>
      <c r="D65" s="61"/>
      <c r="E65" s="62">
        <f>+[11]BS17A!V446</f>
        <v>0</v>
      </c>
      <c r="F65" s="8"/>
    </row>
    <row r="66" spans="1:7" ht="15" customHeight="1" x14ac:dyDescent="0.2">
      <c r="A66" s="22" t="s">
        <v>104</v>
      </c>
      <c r="B66" s="28" t="s">
        <v>105</v>
      </c>
      <c r="C66" s="24">
        <f>+[11]BS17!$D23</f>
        <v>50</v>
      </c>
      <c r="D66" s="63"/>
      <c r="E66" s="64">
        <f>+[11]BS17A!V456</f>
        <v>97480</v>
      </c>
      <c r="F66" s="8"/>
    </row>
    <row r="67" spans="1:7" ht="15" customHeight="1" x14ac:dyDescent="0.2">
      <c r="A67" s="65" t="s">
        <v>106</v>
      </c>
      <c r="B67" s="30" t="s">
        <v>107</v>
      </c>
      <c r="C67" s="66">
        <f>+[11]BS17!$D24</f>
        <v>2493</v>
      </c>
      <c r="D67" s="67"/>
      <c r="E67" s="68">
        <f>+[11]BS17A!V500</f>
        <v>2712660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+[11]BS17!$D25</f>
        <v>4121</v>
      </c>
      <c r="D68" s="83"/>
      <c r="E68" s="84">
        <f>SUM(E69:E74)</f>
        <v>52910420</v>
      </c>
      <c r="F68" s="8"/>
    </row>
    <row r="69" spans="1:7" ht="15" customHeight="1" x14ac:dyDescent="0.2">
      <c r="A69" s="22" t="s">
        <v>110</v>
      </c>
      <c r="B69" s="28" t="s">
        <v>111</v>
      </c>
      <c r="C69" s="24">
        <f>+[11]BS17!$D26</f>
        <v>2679</v>
      </c>
      <c r="D69" s="63"/>
      <c r="E69" s="64">
        <f>+[11]BS17A!V535</f>
        <v>19603550</v>
      </c>
      <c r="F69" s="8"/>
    </row>
    <row r="70" spans="1:7" ht="15" customHeight="1" x14ac:dyDescent="0.2">
      <c r="A70" s="22" t="s">
        <v>112</v>
      </c>
      <c r="B70" s="28" t="s">
        <v>113</v>
      </c>
      <c r="C70" s="24">
        <f>+[11]BS17!$D27</f>
        <v>2</v>
      </c>
      <c r="D70" s="63"/>
      <c r="E70" s="64">
        <f>+[11]BS17A!V590</f>
        <v>42740</v>
      </c>
      <c r="F70" s="8"/>
    </row>
    <row r="71" spans="1:7" ht="15" customHeight="1" x14ac:dyDescent="0.2">
      <c r="A71" s="22" t="s">
        <v>114</v>
      </c>
      <c r="B71" s="28" t="s">
        <v>115</v>
      </c>
      <c r="C71" s="24">
        <f>+[11]BS17!$D28</f>
        <v>412</v>
      </c>
      <c r="D71" s="63"/>
      <c r="E71" s="64">
        <f>+[11]BS17A!V615</f>
        <v>19236120</v>
      </c>
      <c r="F71" s="8"/>
    </row>
    <row r="72" spans="1:7" ht="15" customHeight="1" x14ac:dyDescent="0.2">
      <c r="A72" s="22" t="s">
        <v>116</v>
      </c>
      <c r="B72" s="28" t="s">
        <v>117</v>
      </c>
      <c r="C72" s="24">
        <f>+[11]BS17!$D30+[11]BS17!$D32</f>
        <v>1028</v>
      </c>
      <c r="D72" s="63"/>
      <c r="E72" s="64">
        <f>+[11]BS17A!V633-[11]BS17A!V634</f>
        <v>14028010</v>
      </c>
      <c r="F72" s="8"/>
    </row>
    <row r="73" spans="1:7" ht="15" customHeight="1" x14ac:dyDescent="0.2">
      <c r="A73" s="85"/>
      <c r="B73" s="28" t="s">
        <v>118</v>
      </c>
      <c r="C73" s="24">
        <f>+[11]BS17!$D31</f>
        <v>0</v>
      </c>
      <c r="D73" s="63"/>
      <c r="E73" s="64">
        <f>+[11]BS17A!V634</f>
        <v>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+[11]BS17!$D33</f>
        <v>0</v>
      </c>
      <c r="D74" s="89"/>
      <c r="E74" s="90">
        <f>+[11]BS17A!V654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+[11]BS17!$D34</f>
        <v>0</v>
      </c>
      <c r="D75" s="94"/>
      <c r="E75" s="95">
        <f>+[11]BS17A!V779</f>
        <v>0</v>
      </c>
      <c r="F75" s="8"/>
    </row>
    <row r="76" spans="1:7" ht="15" customHeight="1" x14ac:dyDescent="0.2">
      <c r="A76" s="96"/>
      <c r="B76" s="97" t="s">
        <v>123</v>
      </c>
      <c r="C76" s="56">
        <f>+C55+C68+C75</f>
        <v>53207</v>
      </c>
      <c r="D76" s="57"/>
      <c r="E76" s="98">
        <f>+E55+E68+E75</f>
        <v>115008130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256" t="s">
        <v>124</v>
      </c>
      <c r="B79" s="252"/>
      <c r="C79" s="252"/>
      <c r="D79" s="252"/>
      <c r="E79" s="253"/>
      <c r="F79" s="51"/>
      <c r="G79" s="52"/>
    </row>
    <row r="80" spans="1:7" ht="38.25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19">
        <f>+[11]BS17!D49</f>
        <v>0</v>
      </c>
      <c r="D81" s="61"/>
      <c r="E81" s="103">
        <f>+SUM([11]BS17A!V670+[11]BS17A!V697+[11]BS17A!V716+[11]BS17A!V723+[11]BS17A!V726+[11]BS17A!V743+[11]BS17A!V760)</f>
        <v>0</v>
      </c>
      <c r="F81" s="8"/>
    </row>
    <row r="82" spans="1:6" ht="15" customHeight="1" x14ac:dyDescent="0.2">
      <c r="A82" s="104">
        <v>2001</v>
      </c>
      <c r="B82" s="28" t="s">
        <v>127</v>
      </c>
      <c r="C82" s="24">
        <f>+[11]BS17!E120</f>
        <v>1229</v>
      </c>
      <c r="D82" s="63"/>
      <c r="E82" s="105">
        <f>+[11]BS17A!V1562</f>
        <v>9509390</v>
      </c>
      <c r="F82" s="8"/>
    </row>
    <row r="83" spans="1:6" ht="15" customHeight="1" x14ac:dyDescent="0.2">
      <c r="A83" s="65" t="s">
        <v>128</v>
      </c>
      <c r="B83" s="30" t="s">
        <v>129</v>
      </c>
      <c r="C83" s="66">
        <f>+[11]BS17A!D1837</f>
        <v>30</v>
      </c>
      <c r="D83" s="67"/>
      <c r="E83" s="106">
        <f>+[11]BS17A!V1837</f>
        <v>1818220</v>
      </c>
      <c r="F83" s="8"/>
    </row>
    <row r="84" spans="1:6" ht="17.25" customHeight="1" x14ac:dyDescent="0.2">
      <c r="A84" s="96"/>
      <c r="B84" s="97" t="s">
        <v>130</v>
      </c>
      <c r="C84" s="56">
        <f>+SUM(C81:C83)</f>
        <v>1259</v>
      </c>
      <c r="D84" s="57"/>
      <c r="E84" s="107">
        <f>SUM(E81:E83)</f>
        <v>11327610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239" t="s">
        <v>131</v>
      </c>
      <c r="B87" s="240"/>
      <c r="C87" s="240"/>
      <c r="D87" s="240"/>
      <c r="E87" s="240"/>
      <c r="F87" s="241"/>
    </row>
    <row r="88" spans="1:6" ht="33.75" customHeight="1" x14ac:dyDescent="0.15">
      <c r="A88" s="260" t="s">
        <v>8</v>
      </c>
      <c r="B88" s="260" t="s">
        <v>9</v>
      </c>
      <c r="C88" s="242" t="s">
        <v>10</v>
      </c>
      <c r="D88" s="243"/>
      <c r="E88" s="243"/>
      <c r="F88" s="244"/>
    </row>
    <row r="89" spans="1:6" ht="35.25" customHeight="1" x14ac:dyDescent="0.15">
      <c r="A89" s="261"/>
      <c r="B89" s="261"/>
      <c r="C89" s="99" t="s">
        <v>132</v>
      </c>
      <c r="D89" s="108" t="s">
        <v>133</v>
      </c>
      <c r="E89" s="13" t="s">
        <v>134</v>
      </c>
      <c r="F89" s="1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+[11]BS17!F66</f>
        <v>0</v>
      </c>
      <c r="D90" s="110">
        <f>+[11]BS17!G66</f>
        <v>0</v>
      </c>
      <c r="E90" s="111">
        <f>+[11]BS17!H66</f>
        <v>0</v>
      </c>
      <c r="F90" s="112">
        <f>[11]BS17A!V807</f>
        <v>0</v>
      </c>
    </row>
    <row r="91" spans="1:6" ht="15" customHeight="1" x14ac:dyDescent="0.2">
      <c r="A91" s="22" t="s">
        <v>137</v>
      </c>
      <c r="B91" s="28" t="s">
        <v>138</v>
      </c>
      <c r="C91" s="113">
        <f>+[11]BS17!F67</f>
        <v>92</v>
      </c>
      <c r="D91" s="114">
        <f>+[11]BS17!G67</f>
        <v>0</v>
      </c>
      <c r="E91" s="115">
        <f>+[11]BS17!H67</f>
        <v>0</v>
      </c>
      <c r="F91" s="116">
        <f>[11]BS17A!V878</f>
        <v>30607740</v>
      </c>
    </row>
    <row r="92" spans="1:6" ht="15" customHeight="1" x14ac:dyDescent="0.2">
      <c r="A92" s="22" t="s">
        <v>139</v>
      </c>
      <c r="B92" s="28" t="s">
        <v>140</v>
      </c>
      <c r="C92" s="113">
        <f>+[11]BS17!F68</f>
        <v>9</v>
      </c>
      <c r="D92" s="114">
        <f>+[11]BS17!G68</f>
        <v>2</v>
      </c>
      <c r="E92" s="115">
        <f>+[11]BS17!H68</f>
        <v>0</v>
      </c>
      <c r="F92" s="116">
        <f>[11]BS17A!V957</f>
        <v>853370</v>
      </c>
    </row>
    <row r="93" spans="1:6" ht="15" customHeight="1" x14ac:dyDescent="0.2">
      <c r="A93" s="22" t="s">
        <v>141</v>
      </c>
      <c r="B93" s="28" t="s">
        <v>142</v>
      </c>
      <c r="C93" s="113">
        <f>+[11]BS17!F69</f>
        <v>5</v>
      </c>
      <c r="D93" s="114">
        <f>+[11]BS17!G69</f>
        <v>0</v>
      </c>
      <c r="E93" s="115">
        <f>+[11]BS17!H69</f>
        <v>0</v>
      </c>
      <c r="F93" s="116">
        <f>[11]BS17A!V1033</f>
        <v>568430</v>
      </c>
    </row>
    <row r="94" spans="1:6" ht="15" customHeight="1" x14ac:dyDescent="0.2">
      <c r="A94" s="22" t="s">
        <v>143</v>
      </c>
      <c r="B94" s="28" t="s">
        <v>144</v>
      </c>
      <c r="C94" s="113">
        <f>+[11]BS17!F70</f>
        <v>101</v>
      </c>
      <c r="D94" s="114">
        <f>+[11]BS17!G70</f>
        <v>0</v>
      </c>
      <c r="E94" s="115">
        <f>+[11]BS17!H70</f>
        <v>0</v>
      </c>
      <c r="F94" s="116">
        <f>[11]BS17A!V1094</f>
        <v>4290140</v>
      </c>
    </row>
    <row r="95" spans="1:6" ht="15" customHeight="1" x14ac:dyDescent="0.2">
      <c r="A95" s="22" t="s">
        <v>145</v>
      </c>
      <c r="B95" s="28" t="s">
        <v>146</v>
      </c>
      <c r="C95" s="113">
        <f>+[11]BS17!F71</f>
        <v>128</v>
      </c>
      <c r="D95" s="114">
        <f>+[11]BS17!G71</f>
        <v>0</v>
      </c>
      <c r="E95" s="115">
        <f>+[11]BS17!H71</f>
        <v>0</v>
      </c>
      <c r="F95" s="116">
        <f>[11]BS17A!V1162</f>
        <v>2934640</v>
      </c>
    </row>
    <row r="96" spans="1:6" ht="15" customHeight="1" x14ac:dyDescent="0.2">
      <c r="A96" s="22" t="s">
        <v>147</v>
      </c>
      <c r="B96" s="28" t="s">
        <v>148</v>
      </c>
      <c r="C96" s="113">
        <f>+[11]BS17!F72</f>
        <v>3</v>
      </c>
      <c r="D96" s="114">
        <f>+[11]BS17!G72</f>
        <v>0</v>
      </c>
      <c r="E96" s="115">
        <f>+[11]BS17!H72</f>
        <v>0</v>
      </c>
      <c r="F96" s="116">
        <f>[11]BS17A!V1210</f>
        <v>300820</v>
      </c>
    </row>
    <row r="97" spans="1:6" ht="15" customHeight="1" x14ac:dyDescent="0.2">
      <c r="A97" s="22" t="s">
        <v>149</v>
      </c>
      <c r="B97" s="28" t="s">
        <v>150</v>
      </c>
      <c r="C97" s="113">
        <f>+[11]BS17!F73</f>
        <v>4</v>
      </c>
      <c r="D97" s="114">
        <f>+[11]BS17!G73</f>
        <v>0</v>
      </c>
      <c r="E97" s="115">
        <f>+[11]BS17!H73</f>
        <v>0</v>
      </c>
      <c r="F97" s="116">
        <f>[11]BS17A!V1276</f>
        <v>517090</v>
      </c>
    </row>
    <row r="98" spans="1:6" ht="15" customHeight="1" x14ac:dyDescent="0.2">
      <c r="A98" s="22" t="s">
        <v>151</v>
      </c>
      <c r="B98" s="28" t="s">
        <v>152</v>
      </c>
      <c r="C98" s="113">
        <f>+[11]BS17!F74</f>
        <v>160</v>
      </c>
      <c r="D98" s="114">
        <f>+[11]BS17!G74</f>
        <v>10</v>
      </c>
      <c r="E98" s="115">
        <f>+[11]BS17!H74</f>
        <v>0</v>
      </c>
      <c r="F98" s="116">
        <f>[11]BS17A!V1346</f>
        <v>38337685</v>
      </c>
    </row>
    <row r="99" spans="1:6" ht="15" customHeight="1" x14ac:dyDescent="0.2">
      <c r="A99" s="22" t="s">
        <v>153</v>
      </c>
      <c r="B99" s="28" t="s">
        <v>154</v>
      </c>
      <c r="C99" s="113">
        <f>+[11]BS17!F75</f>
        <v>7</v>
      </c>
      <c r="D99" s="114">
        <f>+[11]BS17!G75</f>
        <v>0</v>
      </c>
      <c r="E99" s="115">
        <f>+[11]BS17!H75</f>
        <v>0</v>
      </c>
      <c r="F99" s="116">
        <f>[11]BS17A!V1430</f>
        <v>308800</v>
      </c>
    </row>
    <row r="100" spans="1:6" ht="15" customHeight="1" x14ac:dyDescent="0.2">
      <c r="A100" s="22" t="s">
        <v>155</v>
      </c>
      <c r="B100" s="28" t="s">
        <v>156</v>
      </c>
      <c r="C100" s="113">
        <f>+[11]BS17!F76</f>
        <v>12</v>
      </c>
      <c r="D100" s="114">
        <f>+[11]BS17!G76</f>
        <v>0</v>
      </c>
      <c r="E100" s="115">
        <f>+[11]BS17!H76</f>
        <v>0</v>
      </c>
      <c r="F100" s="116">
        <f>[11]BS17A!V1477</f>
        <v>1963780</v>
      </c>
    </row>
    <row r="101" spans="1:6" ht="15" customHeight="1" x14ac:dyDescent="0.2">
      <c r="A101" s="22" t="s">
        <v>157</v>
      </c>
      <c r="B101" s="28" t="s">
        <v>158</v>
      </c>
      <c r="C101" s="113">
        <f>+[11]BS17!F77</f>
        <v>7</v>
      </c>
      <c r="D101" s="114">
        <f>+[11]BS17!G77</f>
        <v>0</v>
      </c>
      <c r="E101" s="115">
        <f>+[11]BS17!H77</f>
        <v>0</v>
      </c>
      <c r="F101" s="116">
        <f>[11]BS17A!V1580</f>
        <v>1488980</v>
      </c>
    </row>
    <row r="102" spans="1:6" ht="15" customHeight="1" x14ac:dyDescent="0.2">
      <c r="A102" s="65" t="s">
        <v>159</v>
      </c>
      <c r="B102" s="30" t="s">
        <v>160</v>
      </c>
      <c r="C102" s="117">
        <f>+[11]BS17!F78</f>
        <v>39</v>
      </c>
      <c r="D102" s="118">
        <f>+[11]BS17!G78</f>
        <v>7</v>
      </c>
      <c r="E102" s="119">
        <f>+[11]BS17!H78</f>
        <v>0</v>
      </c>
      <c r="F102" s="120">
        <f>[11]BS17A!V1585</f>
        <v>7463165</v>
      </c>
    </row>
    <row r="103" spans="1:6" ht="15" customHeight="1" x14ac:dyDescent="0.2">
      <c r="A103" s="17" t="s">
        <v>161</v>
      </c>
      <c r="B103" s="36" t="s">
        <v>162</v>
      </c>
      <c r="C103" s="109">
        <f>+[11]BS17!F79</f>
        <v>59</v>
      </c>
      <c r="D103" s="110">
        <f>+[11]BS17!G79</f>
        <v>1</v>
      </c>
      <c r="E103" s="111">
        <f>+[11]BS17!H79</f>
        <v>0</v>
      </c>
      <c r="F103" s="112">
        <f>+[11]BS17A!V1619</f>
        <v>6507360</v>
      </c>
    </row>
    <row r="104" spans="1:6" ht="15" customHeight="1" x14ac:dyDescent="0.2">
      <c r="A104" s="22"/>
      <c r="B104" s="28" t="s">
        <v>163</v>
      </c>
      <c r="C104" s="113">
        <f>+[11]BS17A!D1623</f>
        <v>0</v>
      </c>
      <c r="D104" s="114">
        <f>+[11]BS17A!F1623</f>
        <v>0</v>
      </c>
      <c r="E104" s="115">
        <f>+[11]BS17A!G1623</f>
        <v>0</v>
      </c>
      <c r="F104" s="116">
        <f>+[11]BS17A!V1623</f>
        <v>0</v>
      </c>
    </row>
    <row r="105" spans="1:6" ht="15" customHeight="1" x14ac:dyDescent="0.2">
      <c r="A105" s="22"/>
      <c r="B105" s="28" t="s">
        <v>164</v>
      </c>
      <c r="C105" s="113">
        <f>+[11]BS17A!D1622</f>
        <v>41</v>
      </c>
      <c r="D105" s="114">
        <f>+[11]BS17A!F1622</f>
        <v>0</v>
      </c>
      <c r="E105" s="115">
        <f>+[11]BS17A!G1622</f>
        <v>0</v>
      </c>
      <c r="F105" s="116">
        <f>+[11]BS17A!V1622</f>
        <v>4852350</v>
      </c>
    </row>
    <row r="106" spans="1:6" ht="15" customHeight="1" x14ac:dyDescent="0.2">
      <c r="A106" s="29"/>
      <c r="B106" s="39" t="s">
        <v>165</v>
      </c>
      <c r="C106" s="121">
        <f>+[11]BS17A!D1620+[11]BS17A!D1621</f>
        <v>18</v>
      </c>
      <c r="D106" s="122">
        <f>+[11]BS17A!F1620+[11]BS17A!F1621</f>
        <v>1</v>
      </c>
      <c r="E106" s="123">
        <f>+[11]BS17A!G1620+[11]BS17A!G1621</f>
        <v>0</v>
      </c>
      <c r="F106" s="124">
        <f>+[11]BS17A!V1620+[11]BS17A!V1621</f>
        <v>1655010</v>
      </c>
    </row>
    <row r="107" spans="1:6" ht="15" customHeight="1" x14ac:dyDescent="0.2">
      <c r="A107" s="59" t="s">
        <v>166</v>
      </c>
      <c r="B107" s="79" t="s">
        <v>167</v>
      </c>
      <c r="C107" s="125">
        <f>+[11]BS17!F80</f>
        <v>33</v>
      </c>
      <c r="D107" s="126">
        <f>+[11]BS17!G80</f>
        <v>0</v>
      </c>
      <c r="E107" s="127">
        <f>+[11]BS17!H80</f>
        <v>0</v>
      </c>
      <c r="F107" s="128">
        <f>+[11]BS17A!V1627</f>
        <v>5220790</v>
      </c>
    </row>
    <row r="108" spans="1:6" ht="15" customHeight="1" x14ac:dyDescent="0.2">
      <c r="A108" s="129">
        <v>2106</v>
      </c>
      <c r="B108" s="39" t="s">
        <v>168</v>
      </c>
      <c r="C108" s="121">
        <f>[11]BS17A!D1833</f>
        <v>6</v>
      </c>
      <c r="D108" s="122">
        <f>[11]BS17A!F1833</f>
        <v>0</v>
      </c>
      <c r="E108" s="123">
        <f>[11]BS17A!G1833</f>
        <v>0</v>
      </c>
      <c r="F108" s="124">
        <f>+[11]BS17A!V1833</f>
        <v>296940</v>
      </c>
    </row>
    <row r="109" spans="1:6" ht="15" customHeight="1" x14ac:dyDescent="0.2">
      <c r="A109" s="130"/>
      <c r="B109" s="131" t="s">
        <v>169</v>
      </c>
      <c r="C109" s="132">
        <f>SUM(C90:C108)-C103</f>
        <v>665</v>
      </c>
      <c r="D109" s="133">
        <f>SUM(D90:D108)-D103</f>
        <v>20</v>
      </c>
      <c r="E109" s="134">
        <f>+SUM(E90:E103)+E107+E108</f>
        <v>0</v>
      </c>
      <c r="F109" s="135">
        <f>+SUM(F90:F103)+F107+F108</f>
        <v>101659730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256" t="s">
        <v>170</v>
      </c>
      <c r="B112" s="252"/>
      <c r="C112" s="252"/>
      <c r="D112" s="252"/>
      <c r="E112" s="253"/>
      <c r="F112" s="5"/>
    </row>
    <row r="113" spans="1:6" ht="38.25" x14ac:dyDescent="0.2">
      <c r="A113" s="11" t="s">
        <v>8</v>
      </c>
      <c r="B113" s="11" t="s">
        <v>9</v>
      </c>
      <c r="C113" s="12" t="s">
        <v>10</v>
      </c>
      <c r="D113" s="13" t="s">
        <v>11</v>
      </c>
      <c r="E113" s="1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19">
        <f>+[11]BS17A!D1624</f>
        <v>95</v>
      </c>
      <c r="D114" s="136">
        <f>+[11]BS17A!U1624</f>
        <v>118340</v>
      </c>
      <c r="E114" s="137">
        <f>+[11]BS17A!V1624</f>
        <v>11242300</v>
      </c>
      <c r="F114" s="8"/>
    </row>
    <row r="115" spans="1:6" ht="15" customHeight="1" x14ac:dyDescent="0.2">
      <c r="A115" s="29" t="s">
        <v>173</v>
      </c>
      <c r="B115" s="138" t="s">
        <v>174</v>
      </c>
      <c r="C115" s="66">
        <f>+[11]BS17A!D1625</f>
        <v>2</v>
      </c>
      <c r="D115" s="139">
        <f>+[11]BS17A!U1625</f>
        <v>124520</v>
      </c>
      <c r="E115" s="106">
        <f>+[11]BS17A!V1625</f>
        <v>249040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97</v>
      </c>
      <c r="D116" s="57"/>
      <c r="E116" s="107">
        <f>SUM(E114:E115)</f>
        <v>11491340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262" t="s">
        <v>176</v>
      </c>
      <c r="B119" s="262"/>
      <c r="C119" s="262"/>
      <c r="D119" s="8"/>
      <c r="E119" s="8"/>
      <c r="F119" s="5"/>
    </row>
    <row r="120" spans="1:6" ht="28.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+[11]BS17A!V1859+[11]BS17A!V1876+[11]BS17A!V1895</f>
        <v>15150010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256" t="s">
        <v>179</v>
      </c>
      <c r="B124" s="252"/>
      <c r="C124" s="252"/>
      <c r="D124" s="252"/>
      <c r="E124" s="253"/>
      <c r="F124" s="5"/>
    </row>
    <row r="125" spans="1:6" ht="38.25" x14ac:dyDescent="0.2">
      <c r="A125" s="11" t="s">
        <v>8</v>
      </c>
      <c r="B125" s="11" t="s">
        <v>9</v>
      </c>
      <c r="C125" s="12" t="s">
        <v>10</v>
      </c>
      <c r="D125" s="13" t="s">
        <v>11</v>
      </c>
      <c r="E125" s="1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19">
        <f>+[11]BS17A!$D59</f>
        <v>5359</v>
      </c>
      <c r="D126" s="37">
        <f>+[11]BS17A!$U59</f>
        <v>30310</v>
      </c>
      <c r="E126" s="145">
        <f>+[11]BS17A!$V59</f>
        <v>162431290</v>
      </c>
      <c r="F126" s="8"/>
    </row>
    <row r="127" spans="1:6" ht="15" customHeight="1" x14ac:dyDescent="0.2">
      <c r="A127" s="22" t="s">
        <v>182</v>
      </c>
      <c r="B127" s="23" t="s">
        <v>183</v>
      </c>
      <c r="C127" s="24">
        <f>+[11]BS17A!$D60</f>
        <v>0</v>
      </c>
      <c r="D127" s="25">
        <f>+[11]BS17A!$U60</f>
        <v>27900</v>
      </c>
      <c r="E127" s="146">
        <f>+[11]BS17A!$V60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24">
        <f>+[11]BS17A!$D61</f>
        <v>0</v>
      </c>
      <c r="D128" s="25">
        <f>+[11]BS17A!$U61</f>
        <v>23260</v>
      </c>
      <c r="E128" s="146">
        <f>+[11]BS17A!$V61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24">
        <f>SUM([11]BS17A!D62:D64)</f>
        <v>0</v>
      </c>
      <c r="D129" s="25">
        <f>+[11]BS17A!$U62</f>
        <v>126000</v>
      </c>
      <c r="E129" s="146">
        <f>SUM([11]BS17A!V62:V64)</f>
        <v>0</v>
      </c>
      <c r="F129" s="8"/>
    </row>
    <row r="130" spans="1:6" ht="15" customHeight="1" x14ac:dyDescent="0.2">
      <c r="A130" s="22" t="s">
        <v>188</v>
      </c>
      <c r="B130" s="23" t="s">
        <v>189</v>
      </c>
      <c r="C130" s="24">
        <f>SUM([11]BS17A!D65:D67)</f>
        <v>284</v>
      </c>
      <c r="D130" s="25">
        <f>+[11]BS17A!$U65</f>
        <v>60860</v>
      </c>
      <c r="E130" s="146">
        <f>SUM([11]BS17A!V65:V67)</f>
        <v>17284240</v>
      </c>
      <c r="F130" s="8"/>
    </row>
    <row r="131" spans="1:6" ht="15" customHeight="1" x14ac:dyDescent="0.2">
      <c r="A131" s="22" t="s">
        <v>190</v>
      </c>
      <c r="B131" s="23" t="s">
        <v>191</v>
      </c>
      <c r="C131" s="24">
        <f>+[11]BS17A!D68</f>
        <v>140</v>
      </c>
      <c r="D131" s="25">
        <f>+[11]BS17A!$U68</f>
        <v>54600</v>
      </c>
      <c r="E131" s="146">
        <f>+[11]BS17A!$V68</f>
        <v>7644000</v>
      </c>
      <c r="F131" s="8"/>
    </row>
    <row r="132" spans="1:6" ht="15" customHeight="1" x14ac:dyDescent="0.2">
      <c r="A132" s="22" t="s">
        <v>192</v>
      </c>
      <c r="B132" s="23" t="s">
        <v>193</v>
      </c>
      <c r="C132" s="24">
        <f>+[11]BS17A!$D69</f>
        <v>0</v>
      </c>
      <c r="D132" s="25">
        <f>+[11]BS17A!$U69</f>
        <v>15500</v>
      </c>
      <c r="E132" s="146">
        <f>+[11]BS17A!$V69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24">
        <f>+[11]BS17A!$D70</f>
        <v>0</v>
      </c>
      <c r="D133" s="25">
        <f>+[11]BS17A!$U70</f>
        <v>24280</v>
      </c>
      <c r="E133" s="146">
        <f>+[11]BS17A!$V70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24">
        <f>+[11]BS17A!$D73</f>
        <v>0</v>
      </c>
      <c r="D134" s="25">
        <f>+[11]BS17A!$U73</f>
        <v>24470</v>
      </c>
      <c r="E134" s="146">
        <f>+[11]BS17A!$V73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24">
        <f>+[11]BS17A!$D71</f>
        <v>0</v>
      </c>
      <c r="D135" s="25">
        <f>+[11]BS17A!$U71</f>
        <v>25270</v>
      </c>
      <c r="E135" s="146">
        <f>+[11]BS17A!$V71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24">
        <f>+[11]BS17A!$D76</f>
        <v>0</v>
      </c>
      <c r="D136" s="25">
        <f>+[11]BS17A!$U76</f>
        <v>30310</v>
      </c>
      <c r="E136" s="146">
        <f>+[11]BS17A!$V76</f>
        <v>0</v>
      </c>
      <c r="F136" s="8"/>
    </row>
    <row r="137" spans="1:6" ht="15" customHeight="1" x14ac:dyDescent="0.2">
      <c r="A137" s="22" t="s">
        <v>202</v>
      </c>
      <c r="B137" s="28" t="s">
        <v>203</v>
      </c>
      <c r="C137" s="24">
        <f>+[11]BS17A!$D79</f>
        <v>28</v>
      </c>
      <c r="D137" s="25">
        <f>+[11]BS17A!$U79</f>
        <v>5880</v>
      </c>
      <c r="E137" s="146">
        <f>+[11]BS17A!$V79</f>
        <v>164640</v>
      </c>
      <c r="F137" s="8"/>
    </row>
    <row r="138" spans="1:6" ht="15" customHeight="1" x14ac:dyDescent="0.2">
      <c r="A138" s="22" t="s">
        <v>204</v>
      </c>
      <c r="B138" s="28" t="s">
        <v>205</v>
      </c>
      <c r="C138" s="24">
        <f>+[11]BS17A!$D80</f>
        <v>0</v>
      </c>
      <c r="D138" s="25">
        <f>+[11]BS17A!$U80</f>
        <v>42470</v>
      </c>
      <c r="E138" s="146">
        <f>+[11]BS17A!$V80</f>
        <v>0</v>
      </c>
      <c r="F138" s="8"/>
    </row>
    <row r="139" spans="1:6" ht="15" customHeight="1" x14ac:dyDescent="0.2">
      <c r="A139" s="29"/>
      <c r="B139" s="147" t="s">
        <v>206</v>
      </c>
      <c r="C139" s="148">
        <f>SUM(C126:C138)</f>
        <v>5811</v>
      </c>
      <c r="D139" s="149"/>
      <c r="E139" s="150">
        <f>SUM(E126:E138)</f>
        <v>187524170</v>
      </c>
      <c r="F139" s="8"/>
    </row>
    <row r="140" spans="1:6" ht="15" customHeight="1" x14ac:dyDescent="0.2">
      <c r="A140" s="17"/>
      <c r="B140" s="81" t="s">
        <v>207</v>
      </c>
      <c r="C140" s="19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24">
        <f>+[11]BS17A!$D72</f>
        <v>0</v>
      </c>
      <c r="D141" s="25">
        <f>+[11]BS17A!$U72</f>
        <v>10190</v>
      </c>
      <c r="E141" s="146">
        <f>+[11]BS17A!$V72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24">
        <f>+[11]BS17A!$D74</f>
        <v>0</v>
      </c>
      <c r="D142" s="25">
        <f>+[11]BS17A!$U74</f>
        <v>10190</v>
      </c>
      <c r="E142" s="146">
        <f>+[11]BS17A!$V74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24">
        <f>+[11]BS17A!$D75</f>
        <v>11</v>
      </c>
      <c r="D143" s="25">
        <f>+[11]BS17A!$U75</f>
        <v>4490</v>
      </c>
      <c r="E143" s="146">
        <f>+[11]BS17A!$V75</f>
        <v>49390</v>
      </c>
      <c r="F143" s="8"/>
    </row>
    <row r="144" spans="1:6" ht="15" customHeight="1" x14ac:dyDescent="0.2">
      <c r="A144" s="22" t="s">
        <v>214</v>
      </c>
      <c r="B144" s="23" t="s">
        <v>215</v>
      </c>
      <c r="C144" s="24">
        <f>+[11]BS17A!$D77</f>
        <v>0</v>
      </c>
      <c r="D144" s="25">
        <f>+[11]BS17A!$U77</f>
        <v>81940</v>
      </c>
      <c r="E144" s="146">
        <f>+[11]BS17A!$V77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24">
        <f>+[11]BS17A!$D78</f>
        <v>0</v>
      </c>
      <c r="D145" s="25">
        <f>+[11]BS17A!$U78</f>
        <v>9670</v>
      </c>
      <c r="E145" s="146">
        <f>+[11]BS17A!$V78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24">
        <f>+[11]BS17A!$D81</f>
        <v>0</v>
      </c>
      <c r="D146" s="25">
        <f>+[11]BS17A!$U81</f>
        <v>7450</v>
      </c>
      <c r="E146" s="146">
        <f>+[11]BS17A!$V81</f>
        <v>0</v>
      </c>
      <c r="F146" s="8"/>
    </row>
    <row r="147" spans="1:6" ht="15" customHeight="1" x14ac:dyDescent="0.2">
      <c r="A147" s="29"/>
      <c r="B147" s="147" t="s">
        <v>220</v>
      </c>
      <c r="C147" s="148">
        <f>SUM(C141:C146)</f>
        <v>11</v>
      </c>
      <c r="D147" s="149"/>
      <c r="E147" s="150">
        <f>SUM(E141:E146)</f>
        <v>49390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5822</v>
      </c>
      <c r="D148" s="151"/>
      <c r="E148" s="152">
        <f>+E139+E147</f>
        <v>187573560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239" t="s">
        <v>222</v>
      </c>
      <c r="B151" s="240"/>
      <c r="C151" s="240"/>
      <c r="D151" s="240"/>
      <c r="E151" s="241"/>
      <c r="F151" s="5"/>
    </row>
    <row r="152" spans="1:6" ht="36" customHeight="1" x14ac:dyDescent="0.2">
      <c r="A152" s="11" t="s">
        <v>8</v>
      </c>
      <c r="B152" s="11" t="s">
        <v>9</v>
      </c>
      <c r="C152" s="12" t="s">
        <v>10</v>
      </c>
      <c r="D152" s="13" t="s">
        <v>11</v>
      </c>
      <c r="E152" s="1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19">
        <f>+[11]BS17A!D43</f>
        <v>4426</v>
      </c>
      <c r="D153" s="37">
        <f>[11]BS17A!U43</f>
        <v>700</v>
      </c>
      <c r="E153" s="145">
        <f>+[11]BS17A!V43</f>
        <v>3098200</v>
      </c>
      <c r="F153" s="8"/>
    </row>
    <row r="154" spans="1:6" ht="15" customHeight="1" x14ac:dyDescent="0.2">
      <c r="A154" s="29" t="s">
        <v>225</v>
      </c>
      <c r="B154" s="43" t="s">
        <v>226</v>
      </c>
      <c r="C154" s="31">
        <f>+[11]BS17A!D44+[11]BS17A!D45</f>
        <v>0</v>
      </c>
      <c r="D154" s="40">
        <f>[11]BS17A!U44</f>
        <v>100</v>
      </c>
      <c r="E154" s="153">
        <f>+[11]BS17A!V44+[11]BS17A!V45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4426</v>
      </c>
      <c r="D155" s="151"/>
      <c r="E155" s="152">
        <f>SUM(E153:E154)</f>
        <v>3098200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239" t="s">
        <v>228</v>
      </c>
      <c r="B158" s="240"/>
      <c r="C158" s="240"/>
      <c r="D158" s="240"/>
      <c r="E158" s="241"/>
      <c r="F158" s="5"/>
    </row>
    <row r="159" spans="1:6" ht="47.25" customHeight="1" x14ac:dyDescent="0.2">
      <c r="A159" s="11" t="s">
        <v>8</v>
      </c>
      <c r="B159" s="11" t="s">
        <v>9</v>
      </c>
      <c r="C159" s="12" t="s">
        <v>10</v>
      </c>
      <c r="D159" s="13" t="s">
        <v>11</v>
      </c>
      <c r="E159" s="1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+[11]BS17A!$D1470</f>
        <v>0</v>
      </c>
      <c r="D160" s="37">
        <f>+[11]BS17A!$U1470</f>
        <v>38160</v>
      </c>
      <c r="E160" s="145">
        <f>+[11]BS17A!$V1470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+[11]BS17A!$D1471</f>
        <v>0</v>
      </c>
      <c r="D161" s="25">
        <f>+[11]BS17A!$U1471</f>
        <v>24000</v>
      </c>
      <c r="E161" s="146">
        <f>+[11]BS17A!$V1471</f>
        <v>0</v>
      </c>
      <c r="F161" s="8"/>
    </row>
    <row r="162" spans="1:6" ht="15" customHeight="1" x14ac:dyDescent="0.2">
      <c r="A162" s="22" t="s">
        <v>233</v>
      </c>
      <c r="B162" s="28" t="s">
        <v>234</v>
      </c>
      <c r="C162" s="155">
        <f>+[11]BS17A!$D1472</f>
        <v>0</v>
      </c>
      <c r="D162" s="25">
        <f>+[11]BS17A!$U1472</f>
        <v>24000</v>
      </c>
      <c r="E162" s="146">
        <f>+[11]BS17A!$V1472</f>
        <v>0</v>
      </c>
      <c r="F162" s="8"/>
    </row>
    <row r="163" spans="1:6" ht="15" customHeight="1" x14ac:dyDescent="0.2">
      <c r="A163" s="22" t="s">
        <v>235</v>
      </c>
      <c r="B163" s="156" t="s">
        <v>236</v>
      </c>
      <c r="C163" s="155">
        <f>+[11]BS17A!$D1473</f>
        <v>0</v>
      </c>
      <c r="D163" s="25">
        <f>+[11]BS17A!$U1473</f>
        <v>726900</v>
      </c>
      <c r="E163" s="146">
        <f>+[11]BS17A!$V1473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+[11]BS17A!$D1474</f>
        <v>0</v>
      </c>
      <c r="D164" s="25">
        <f>+[11]BS17A!$U1474</f>
        <v>515080</v>
      </c>
      <c r="E164" s="146">
        <f>+[11]BS17A!$V1474</f>
        <v>0</v>
      </c>
      <c r="F164" s="8"/>
    </row>
    <row r="165" spans="1:6" ht="15" customHeight="1" x14ac:dyDescent="0.2">
      <c r="A165" s="65" t="s">
        <v>239</v>
      </c>
      <c r="B165" s="138" t="s">
        <v>240</v>
      </c>
      <c r="C165" s="155">
        <f>+[11]BS17A!$D1475</f>
        <v>0</v>
      </c>
      <c r="D165" s="25">
        <f>+[11]BS17A!$U1475</f>
        <v>43850</v>
      </c>
      <c r="E165" s="146">
        <f>+[11]BS17A!$V1475</f>
        <v>0</v>
      </c>
      <c r="F165" s="8"/>
    </row>
    <row r="166" spans="1:6" ht="15" customHeight="1" x14ac:dyDescent="0.2">
      <c r="A166" s="129">
        <v>1901029</v>
      </c>
      <c r="B166" s="157" t="s">
        <v>241</v>
      </c>
      <c r="C166" s="158">
        <f>+[11]BS17A!$D1476</f>
        <v>0</v>
      </c>
      <c r="D166" s="40">
        <f>+[11]BS17A!$U1476</f>
        <v>591930</v>
      </c>
      <c r="E166" s="153">
        <f>+[11]BS17A!$V1476</f>
        <v>0</v>
      </c>
      <c r="F166" s="8"/>
    </row>
    <row r="167" spans="1:6" ht="15" customHeight="1" x14ac:dyDescent="0.2">
      <c r="A167" s="159"/>
      <c r="B167" s="160" t="s">
        <v>242</v>
      </c>
      <c r="C167" s="161">
        <f>SUM(C160:C166)</f>
        <v>0</v>
      </c>
      <c r="D167" s="162"/>
      <c r="E167" s="163">
        <f>SUM(E160:E166)</f>
        <v>0</v>
      </c>
      <c r="F167" s="8"/>
    </row>
    <row r="168" spans="1:6" ht="12.75" x14ac:dyDescent="0.2">
      <c r="A168" s="8"/>
      <c r="B168" s="8"/>
      <c r="C168" s="8"/>
      <c r="D168" s="8"/>
      <c r="E168" s="8"/>
      <c r="F168" s="8"/>
    </row>
    <row r="169" spans="1:6" ht="18" customHeight="1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256" t="s">
        <v>243</v>
      </c>
      <c r="B170" s="252"/>
      <c r="C170" s="252"/>
      <c r="D170" s="252"/>
      <c r="E170" s="253"/>
      <c r="F170" s="5"/>
    </row>
    <row r="171" spans="1:6" ht="35.25" customHeight="1" x14ac:dyDescent="0.2">
      <c r="A171" s="11" t="s">
        <v>8</v>
      </c>
      <c r="B171" s="11" t="s">
        <v>9</v>
      </c>
      <c r="C171" s="12" t="s">
        <v>10</v>
      </c>
      <c r="D171" s="13" t="s">
        <v>11</v>
      </c>
      <c r="E171" s="14" t="s">
        <v>12</v>
      </c>
      <c r="F171" s="8"/>
    </row>
    <row r="172" spans="1:6" ht="12.75" customHeight="1" x14ac:dyDescent="0.2">
      <c r="A172" s="164">
        <v>1101004</v>
      </c>
      <c r="B172" s="165" t="s">
        <v>244</v>
      </c>
      <c r="C172" s="19">
        <f>+[11]BS17A!$D801</f>
        <v>0</v>
      </c>
      <c r="D172" s="37">
        <f>+[11]BS17A!$U801</f>
        <v>13080</v>
      </c>
      <c r="E172" s="145">
        <f>+[11]BS17A!$V801</f>
        <v>0</v>
      </c>
      <c r="F172" s="8"/>
    </row>
    <row r="173" spans="1:6" ht="12.75" customHeight="1" x14ac:dyDescent="0.2">
      <c r="A173" s="104">
        <v>1101006</v>
      </c>
      <c r="B173" s="166" t="s">
        <v>245</v>
      </c>
      <c r="C173" s="24">
        <f>+[11]BS17A!$D802</f>
        <v>11</v>
      </c>
      <c r="D173" s="25">
        <f>+[11]BS17A!$U802</f>
        <v>10470</v>
      </c>
      <c r="E173" s="146">
        <f>+[11]BS17A!$V802</f>
        <v>115170</v>
      </c>
      <c r="F173" s="8"/>
    </row>
    <row r="174" spans="1:6" ht="24.75" customHeight="1" x14ac:dyDescent="0.2">
      <c r="A174" s="104" t="s">
        <v>246</v>
      </c>
      <c r="B174" s="167" t="s">
        <v>247</v>
      </c>
      <c r="C174" s="24">
        <f>+[11]BS17A!$D1186</f>
        <v>648</v>
      </c>
      <c r="D174" s="25">
        <f>+[11]BS17A!$U1186</f>
        <v>4480</v>
      </c>
      <c r="E174" s="146">
        <f>+[11]BS17A!$V1186</f>
        <v>2903040</v>
      </c>
      <c r="F174" s="8"/>
    </row>
    <row r="175" spans="1:6" ht="24.75" customHeight="1" x14ac:dyDescent="0.2">
      <c r="A175" s="104" t="s">
        <v>248</v>
      </c>
      <c r="B175" s="167" t="s">
        <v>249</v>
      </c>
      <c r="C175" s="24">
        <f>+[11]BS17A!$D1187</f>
        <v>7</v>
      </c>
      <c r="D175" s="25">
        <f>+[11]BS17A!$U1187</f>
        <v>12640</v>
      </c>
      <c r="E175" s="146">
        <f>+[11]BS17A!$V1187</f>
        <v>88480</v>
      </c>
      <c r="F175" s="8"/>
    </row>
    <row r="176" spans="1:6" ht="24.75" customHeight="1" x14ac:dyDescent="0.2">
      <c r="A176" s="104" t="s">
        <v>250</v>
      </c>
      <c r="B176" s="167" t="s">
        <v>251</v>
      </c>
      <c r="C176" s="24">
        <f>+[11]BS17A!$D1188</f>
        <v>25</v>
      </c>
      <c r="D176" s="25">
        <f>+[11]BS17A!$U1188</f>
        <v>21430</v>
      </c>
      <c r="E176" s="146">
        <f>+[11]BS17A!$V1188</f>
        <v>535750</v>
      </c>
      <c r="F176" s="8"/>
    </row>
    <row r="177" spans="1:6" ht="12.75" customHeight="1" x14ac:dyDescent="0.2">
      <c r="A177" s="104" t="s">
        <v>252</v>
      </c>
      <c r="B177" s="167" t="s">
        <v>253</v>
      </c>
      <c r="C177" s="24">
        <f>+[11]BS17A!$D1189</f>
        <v>0</v>
      </c>
      <c r="D177" s="25">
        <f>+[11]BS17A!$U1189</f>
        <v>40910</v>
      </c>
      <c r="E177" s="146">
        <f>+[11]BS17A!$V1189</f>
        <v>0</v>
      </c>
      <c r="F177" s="8"/>
    </row>
    <row r="178" spans="1:6" ht="12.75" customHeight="1" x14ac:dyDescent="0.2">
      <c r="A178" s="104" t="s">
        <v>254</v>
      </c>
      <c r="B178" s="167" t="s">
        <v>255</v>
      </c>
      <c r="C178" s="24">
        <f>+[11]BS17A!$D1190</f>
        <v>56</v>
      </c>
      <c r="D178" s="25">
        <f>+[11]BS17A!$U1190</f>
        <v>45600</v>
      </c>
      <c r="E178" s="146">
        <f>+[11]BS17A!$V1190</f>
        <v>2553600</v>
      </c>
      <c r="F178" s="8"/>
    </row>
    <row r="179" spans="1:6" ht="24.75" customHeight="1" x14ac:dyDescent="0.2">
      <c r="A179" s="104" t="s">
        <v>256</v>
      </c>
      <c r="B179" s="167" t="s">
        <v>257</v>
      </c>
      <c r="C179" s="24">
        <f>+[11]BS17A!$D1191</f>
        <v>0</v>
      </c>
      <c r="D179" s="25">
        <f>+[11]BS17A!$U1191</f>
        <v>25580</v>
      </c>
      <c r="E179" s="146">
        <f>+[11]BS17A!$V1191</f>
        <v>0</v>
      </c>
      <c r="F179" s="8"/>
    </row>
    <row r="180" spans="1:6" ht="12.75" customHeight="1" x14ac:dyDescent="0.2">
      <c r="A180" s="104" t="s">
        <v>258</v>
      </c>
      <c r="B180" s="156" t="s">
        <v>259</v>
      </c>
      <c r="C180" s="24">
        <f>+[11]BS17A!$D1192</f>
        <v>0</v>
      </c>
      <c r="D180" s="25">
        <f>+[11]BS17A!$U1192</f>
        <v>197910</v>
      </c>
      <c r="E180" s="146">
        <f>+[11]BS17A!$V1192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24">
        <f>+[11]BS17A!$D1193</f>
        <v>0</v>
      </c>
      <c r="D181" s="25">
        <f>+[11]BS17A!$U1193</f>
        <v>224990</v>
      </c>
      <c r="E181" s="146">
        <f>+[11]BS17A!$V1193</f>
        <v>0</v>
      </c>
      <c r="F181" s="8"/>
    </row>
    <row r="182" spans="1:6" ht="12.75" customHeight="1" x14ac:dyDescent="0.2">
      <c r="A182" s="104" t="s">
        <v>262</v>
      </c>
      <c r="B182" s="167" t="s">
        <v>263</v>
      </c>
      <c r="C182" s="24">
        <f>+[11]BS17A!$D1194</f>
        <v>0</v>
      </c>
      <c r="D182" s="25">
        <f>+[11]BS17A!$U1194</f>
        <v>183470</v>
      </c>
      <c r="E182" s="146">
        <f>+[11]BS17A!$V1194</f>
        <v>0</v>
      </c>
      <c r="F182" s="8"/>
    </row>
    <row r="183" spans="1:6" ht="24.75" customHeight="1" x14ac:dyDescent="0.2">
      <c r="A183" s="104" t="s">
        <v>264</v>
      </c>
      <c r="B183" s="156" t="s">
        <v>265</v>
      </c>
      <c r="C183" s="24">
        <f>+[11]BS17A!$D1195</f>
        <v>0</v>
      </c>
      <c r="D183" s="25">
        <f>+[11]BS17A!$U1195</f>
        <v>235660</v>
      </c>
      <c r="E183" s="146">
        <f>+[11]BS17A!$V1195</f>
        <v>0</v>
      </c>
      <c r="F183" s="8"/>
    </row>
    <row r="184" spans="1:6" ht="24.75" customHeight="1" x14ac:dyDescent="0.2">
      <c r="A184" s="104" t="s">
        <v>266</v>
      </c>
      <c r="B184" s="156" t="s">
        <v>267</v>
      </c>
      <c r="C184" s="24">
        <f>+[11]BS17A!$D1196</f>
        <v>0</v>
      </c>
      <c r="D184" s="25">
        <f>+[11]BS17A!$U1196</f>
        <v>241140</v>
      </c>
      <c r="E184" s="146">
        <f>+[11]BS17A!$V1196</f>
        <v>0</v>
      </c>
      <c r="F184" s="8"/>
    </row>
    <row r="185" spans="1:6" ht="24.75" customHeight="1" x14ac:dyDescent="0.2">
      <c r="A185" s="104" t="s">
        <v>268</v>
      </c>
      <c r="B185" s="156" t="s">
        <v>269</v>
      </c>
      <c r="C185" s="24">
        <f>+[11]BS17A!$D1197</f>
        <v>0</v>
      </c>
      <c r="D185" s="25">
        <f>+[11]BS17A!$U1197</f>
        <v>203920</v>
      </c>
      <c r="E185" s="146">
        <f>+[11]BS17A!$V1197</f>
        <v>0</v>
      </c>
      <c r="F185" s="8"/>
    </row>
    <row r="186" spans="1:6" ht="12.75" customHeight="1" x14ac:dyDescent="0.2">
      <c r="A186" s="104" t="s">
        <v>270</v>
      </c>
      <c r="B186" s="156" t="s">
        <v>271</v>
      </c>
      <c r="C186" s="24">
        <f>+[11]BS17A!$D1198</f>
        <v>0</v>
      </c>
      <c r="D186" s="25">
        <f>+[11]BS17A!$U1198</f>
        <v>217670</v>
      </c>
      <c r="E186" s="146">
        <f>+[11]BS17A!$V1198</f>
        <v>0</v>
      </c>
      <c r="F186" s="8"/>
    </row>
    <row r="187" spans="1:6" ht="12.75" customHeight="1" x14ac:dyDescent="0.2">
      <c r="A187" s="104" t="s">
        <v>272</v>
      </c>
      <c r="B187" s="156" t="s">
        <v>273</v>
      </c>
      <c r="C187" s="24">
        <f>+[11]BS17A!$D1199</f>
        <v>0</v>
      </c>
      <c r="D187" s="25">
        <f>+[11]BS17A!$U1199</f>
        <v>260270</v>
      </c>
      <c r="E187" s="146">
        <f>+[11]BS17A!$V1199</f>
        <v>0</v>
      </c>
      <c r="F187" s="8"/>
    </row>
    <row r="188" spans="1:6" ht="24.75" customHeight="1" x14ac:dyDescent="0.2">
      <c r="A188" s="104" t="s">
        <v>274</v>
      </c>
      <c r="B188" s="167" t="s">
        <v>275</v>
      </c>
      <c r="C188" s="24">
        <f>+[11]BS17A!$D1200</f>
        <v>0</v>
      </c>
      <c r="D188" s="25">
        <f>+[11]BS17A!$U1200</f>
        <v>230810</v>
      </c>
      <c r="E188" s="146">
        <f>+[11]BS17A!$V1200</f>
        <v>0</v>
      </c>
      <c r="F188" s="8"/>
    </row>
    <row r="189" spans="1:6" ht="24.75" customHeight="1" x14ac:dyDescent="0.2">
      <c r="A189" s="104" t="s">
        <v>276</v>
      </c>
      <c r="B189" s="156" t="s">
        <v>277</v>
      </c>
      <c r="C189" s="24">
        <f>+[11]BS17A!$D1201</f>
        <v>0</v>
      </c>
      <c r="D189" s="25">
        <f>+[11]BS17A!$U1201</f>
        <v>1689070</v>
      </c>
      <c r="E189" s="146">
        <f>+[11]BS17A!$V1201</f>
        <v>0</v>
      </c>
      <c r="F189" s="8"/>
    </row>
    <row r="190" spans="1:6" ht="12.75" customHeight="1" x14ac:dyDescent="0.2">
      <c r="A190" s="104" t="s">
        <v>278</v>
      </c>
      <c r="B190" s="156" t="s">
        <v>279</v>
      </c>
      <c r="C190" s="24">
        <f>+[11]BS17A!$D1202</f>
        <v>0</v>
      </c>
      <c r="D190" s="25">
        <f>+[11]BS17A!$U1202</f>
        <v>1054990</v>
      </c>
      <c r="E190" s="146">
        <f>+[11]BS17A!$V1202</f>
        <v>0</v>
      </c>
      <c r="F190" s="8"/>
    </row>
    <row r="191" spans="1:6" ht="12.75" customHeight="1" x14ac:dyDescent="0.2">
      <c r="A191" s="22" t="s">
        <v>280</v>
      </c>
      <c r="B191" s="156" t="s">
        <v>281</v>
      </c>
      <c r="C191" s="24">
        <f>+[11]BS17A!$D1203</f>
        <v>0</v>
      </c>
      <c r="D191" s="25">
        <f>+[11]BS17A!$U1203</f>
        <v>1021110</v>
      </c>
      <c r="E191" s="146">
        <f>+[11]BS17A!$V1203</f>
        <v>0</v>
      </c>
      <c r="F191" s="8"/>
    </row>
    <row r="192" spans="1:6" ht="24.75" customHeight="1" x14ac:dyDescent="0.2">
      <c r="A192" s="104" t="s">
        <v>282</v>
      </c>
      <c r="B192" s="156" t="s">
        <v>283</v>
      </c>
      <c r="C192" s="24">
        <f>+[11]BS17A!$D1204</f>
        <v>0</v>
      </c>
      <c r="D192" s="25">
        <f>+[11]BS17A!$U1204</f>
        <v>1069740</v>
      </c>
      <c r="E192" s="146">
        <f>+[11]BS17A!$V1204</f>
        <v>0</v>
      </c>
      <c r="F192" s="8"/>
    </row>
    <row r="193" spans="1:6" ht="12.75" customHeight="1" x14ac:dyDescent="0.2">
      <c r="A193" s="22" t="s">
        <v>284</v>
      </c>
      <c r="B193" s="156" t="s">
        <v>285</v>
      </c>
      <c r="C193" s="24">
        <f>+[11]BS17A!$D1205</f>
        <v>0</v>
      </c>
      <c r="D193" s="25">
        <f>+[11]BS17A!$U1205</f>
        <v>151380</v>
      </c>
      <c r="E193" s="146">
        <f>+[11]BS17A!$V1205</f>
        <v>0</v>
      </c>
      <c r="F193" s="8"/>
    </row>
    <row r="194" spans="1:6" ht="12.75" customHeight="1" x14ac:dyDescent="0.2">
      <c r="A194" s="22" t="s">
        <v>286</v>
      </c>
      <c r="B194" s="156" t="s">
        <v>287</v>
      </c>
      <c r="C194" s="24">
        <f>+[11]BS17A!$D1206</f>
        <v>0</v>
      </c>
      <c r="D194" s="25">
        <f>+[11]BS17A!$U1206</f>
        <v>345440</v>
      </c>
      <c r="E194" s="146">
        <f>+[11]BS17A!$V1206</f>
        <v>0</v>
      </c>
      <c r="F194" s="8"/>
    </row>
    <row r="195" spans="1:6" ht="12.75" customHeight="1" x14ac:dyDescent="0.2">
      <c r="A195" s="104" t="s">
        <v>288</v>
      </c>
      <c r="B195" s="156" t="s">
        <v>289</v>
      </c>
      <c r="C195" s="24">
        <f>+[11]BS17A!$D1207</f>
        <v>0</v>
      </c>
      <c r="D195" s="25">
        <f>+[11]BS17A!$U1207</f>
        <v>128060</v>
      </c>
      <c r="E195" s="146">
        <f>+[11]BS17A!$V1207</f>
        <v>0</v>
      </c>
      <c r="F195" s="8"/>
    </row>
    <row r="196" spans="1:6" ht="12.75" customHeight="1" x14ac:dyDescent="0.2">
      <c r="A196" s="104" t="s">
        <v>290</v>
      </c>
      <c r="B196" s="156" t="s">
        <v>291</v>
      </c>
      <c r="C196" s="24">
        <f>+[11]BS17A!$D1208</f>
        <v>0</v>
      </c>
      <c r="D196" s="25">
        <f>+[11]BS17A!$U1208</f>
        <v>1037610</v>
      </c>
      <c r="E196" s="146">
        <f>+[11]BS17A!$V1208</f>
        <v>0</v>
      </c>
      <c r="F196" s="8"/>
    </row>
    <row r="197" spans="1:6" ht="12.75" customHeight="1" x14ac:dyDescent="0.2">
      <c r="A197" s="104" t="s">
        <v>292</v>
      </c>
      <c r="B197" s="156" t="s">
        <v>293</v>
      </c>
      <c r="C197" s="24">
        <f>+[11]BS17A!$D1209</f>
        <v>0</v>
      </c>
      <c r="D197" s="25">
        <f>+[11]BS17A!$U1209</f>
        <v>1037610</v>
      </c>
      <c r="E197" s="146">
        <f>+[11]BS17A!$V1209</f>
        <v>0</v>
      </c>
      <c r="F197" s="8"/>
    </row>
    <row r="198" spans="1:6" ht="12.75" customHeight="1" x14ac:dyDescent="0.2">
      <c r="A198" s="104">
        <v>1801001</v>
      </c>
      <c r="B198" s="166" t="s">
        <v>294</v>
      </c>
      <c r="C198" s="24">
        <f>+[11]BS17A!$D1343</f>
        <v>14</v>
      </c>
      <c r="D198" s="25">
        <f>+[11]BS17A!$U1343</f>
        <v>30950</v>
      </c>
      <c r="E198" s="146">
        <f>+[11]BS17A!$V1343</f>
        <v>433300</v>
      </c>
      <c r="F198" s="8"/>
    </row>
    <row r="199" spans="1:6" ht="12.75" customHeight="1" x14ac:dyDescent="0.2">
      <c r="A199" s="104">
        <v>1801003</v>
      </c>
      <c r="B199" s="156" t="s">
        <v>295</v>
      </c>
      <c r="C199" s="24">
        <f>+[11]BS17A!$D1344</f>
        <v>0</v>
      </c>
      <c r="D199" s="25">
        <f>+[11]BS17A!$U1344</f>
        <v>37330</v>
      </c>
      <c r="E199" s="146">
        <f>+[11]BS17A!$V1344</f>
        <v>0</v>
      </c>
      <c r="F199" s="8"/>
    </row>
    <row r="200" spans="1:6" ht="12.75" customHeight="1" x14ac:dyDescent="0.2">
      <c r="A200" s="104">
        <v>1801006</v>
      </c>
      <c r="B200" s="166" t="s">
        <v>296</v>
      </c>
      <c r="C200" s="24">
        <f>+[11]BS17A!$D1345</f>
        <v>6</v>
      </c>
      <c r="D200" s="25">
        <f>+[11]BS17A!$U1345</f>
        <v>39760</v>
      </c>
      <c r="E200" s="146">
        <f>+[11]BS17A!$V1345</f>
        <v>238560</v>
      </c>
      <c r="F200" s="8"/>
    </row>
    <row r="201" spans="1:6" ht="24.75" customHeight="1" x14ac:dyDescent="0.2">
      <c r="A201" s="104" t="s">
        <v>297</v>
      </c>
      <c r="B201" s="166" t="s">
        <v>298</v>
      </c>
      <c r="C201" s="24">
        <f>[11]BS17A!D1032</f>
        <v>1</v>
      </c>
      <c r="D201" s="25">
        <f>[11]BS17A!U1032</f>
        <v>8370</v>
      </c>
      <c r="E201" s="146">
        <f>[11]BS17A!V1032</f>
        <v>8370</v>
      </c>
      <c r="F201" s="8"/>
    </row>
    <row r="202" spans="1:6" ht="24.75" customHeight="1" x14ac:dyDescent="0.2">
      <c r="A202" s="168" t="s">
        <v>299</v>
      </c>
      <c r="B202" s="169" t="s">
        <v>300</v>
      </c>
      <c r="C202" s="88">
        <f>[11]BS17A!D803</f>
        <v>0</v>
      </c>
      <c r="D202" s="170">
        <f>[11]BS17A!U803</f>
        <v>355150</v>
      </c>
      <c r="E202" s="171">
        <f>[11]BS17A!V803</f>
        <v>0</v>
      </c>
      <c r="F202" s="8"/>
    </row>
    <row r="203" spans="1:6" ht="17.25" customHeight="1" x14ac:dyDescent="0.2">
      <c r="A203" s="130"/>
      <c r="B203" s="131" t="s">
        <v>301</v>
      </c>
      <c r="C203" s="44">
        <f>SUM(C172:C202)</f>
        <v>768</v>
      </c>
      <c r="D203" s="151"/>
      <c r="E203" s="152">
        <f>SUM(E172:E202)</f>
        <v>6876270</v>
      </c>
      <c r="F203" s="8"/>
    </row>
    <row r="204" spans="1:6" ht="21.75" customHeight="1" x14ac:dyDescent="0.2">
      <c r="A204" s="8"/>
      <c r="B204" s="8"/>
      <c r="C204" s="8"/>
      <c r="D204" s="8"/>
      <c r="E204" s="8"/>
      <c r="F204" s="8"/>
    </row>
    <row r="205" spans="1:6" ht="19.5" customHeight="1" x14ac:dyDescent="0.2">
      <c r="A205" s="8"/>
      <c r="B205" s="8"/>
      <c r="C205" s="8"/>
      <c r="D205" s="8"/>
      <c r="E205" s="8"/>
      <c r="F205" s="8"/>
    </row>
    <row r="206" spans="1:6" ht="18" customHeight="1" x14ac:dyDescent="0.2">
      <c r="A206" s="256" t="s">
        <v>302</v>
      </c>
      <c r="B206" s="252"/>
      <c r="C206" s="252"/>
      <c r="D206" s="252"/>
      <c r="E206" s="253"/>
      <c r="F206" s="5"/>
    </row>
    <row r="207" spans="1:6" ht="39.75" customHeight="1" x14ac:dyDescent="0.2">
      <c r="A207" s="11" t="s">
        <v>8</v>
      </c>
      <c r="B207" s="11" t="s">
        <v>9</v>
      </c>
      <c r="C207" s="12" t="s">
        <v>10</v>
      </c>
      <c r="D207" s="13" t="s">
        <v>11</v>
      </c>
      <c r="E207" s="14" t="s">
        <v>12</v>
      </c>
      <c r="F207" s="5"/>
    </row>
    <row r="208" spans="1:6" ht="12.75" customHeight="1" x14ac:dyDescent="0.2">
      <c r="A208" s="17" t="s">
        <v>303</v>
      </c>
      <c r="B208" s="42" t="s">
        <v>304</v>
      </c>
      <c r="C208" s="19">
        <f>+[11]BS17A!$D18</f>
        <v>0</v>
      </c>
      <c r="D208" s="37">
        <f>+[11]BS17A!$U18</f>
        <v>12950</v>
      </c>
      <c r="E208" s="145">
        <f>+[11]BS17A!$V18</f>
        <v>0</v>
      </c>
      <c r="F208" s="8"/>
    </row>
    <row r="209" spans="1:6" ht="12.75" customHeight="1" x14ac:dyDescent="0.2">
      <c r="A209" s="22" t="s">
        <v>305</v>
      </c>
      <c r="B209" s="23" t="s">
        <v>306</v>
      </c>
      <c r="C209" s="24">
        <f>+[11]BS17A!$D19</f>
        <v>57</v>
      </c>
      <c r="D209" s="25">
        <f>+[11]BS17A!$U19</f>
        <v>12950</v>
      </c>
      <c r="E209" s="146">
        <f>+[11]BS17A!$V19</f>
        <v>738150</v>
      </c>
      <c r="F209" s="8"/>
    </row>
    <row r="210" spans="1:6" ht="12.75" customHeight="1" x14ac:dyDescent="0.2">
      <c r="A210" s="22" t="s">
        <v>307</v>
      </c>
      <c r="B210" s="28" t="s">
        <v>308</v>
      </c>
      <c r="C210" s="24">
        <f>+[11]BS17A!$D47</f>
        <v>0</v>
      </c>
      <c r="D210" s="25">
        <f>+[11]BS17A!$U47</f>
        <v>1240</v>
      </c>
      <c r="E210" s="146">
        <f>+[11]BS17A!$V47</f>
        <v>0</v>
      </c>
      <c r="F210" s="8"/>
    </row>
    <row r="211" spans="1:6" ht="12.75" customHeight="1" x14ac:dyDescent="0.2">
      <c r="A211" s="22" t="s">
        <v>309</v>
      </c>
      <c r="B211" s="28" t="s">
        <v>310</v>
      </c>
      <c r="C211" s="24">
        <f>+[11]BS17A!$D48</f>
        <v>207</v>
      </c>
      <c r="D211" s="25">
        <f>+[11]BS17A!$U48</f>
        <v>600</v>
      </c>
      <c r="E211" s="146">
        <f>+[11]BS17A!$V48</f>
        <v>124200</v>
      </c>
      <c r="F211" s="8"/>
    </row>
    <row r="212" spans="1:6" ht="12.75" customHeight="1" x14ac:dyDescent="0.2">
      <c r="A212" s="22" t="s">
        <v>311</v>
      </c>
      <c r="B212" s="23" t="s">
        <v>312</v>
      </c>
      <c r="C212" s="24">
        <f>+[11]BS17A!$D49</f>
        <v>784</v>
      </c>
      <c r="D212" s="25">
        <f>+[11]BS17A!$U49</f>
        <v>1840</v>
      </c>
      <c r="E212" s="146">
        <f>+[11]BS17A!$V49</f>
        <v>1442560</v>
      </c>
      <c r="F212" s="8"/>
    </row>
    <row r="213" spans="1:6" ht="12.75" customHeight="1" x14ac:dyDescent="0.2">
      <c r="A213" s="22" t="s">
        <v>313</v>
      </c>
      <c r="B213" s="23" t="s">
        <v>314</v>
      </c>
      <c r="C213" s="24">
        <f>+[11]BS17A!$D50</f>
        <v>43</v>
      </c>
      <c r="D213" s="25">
        <f>+[11]BS17A!$U50</f>
        <v>13790</v>
      </c>
      <c r="E213" s="146">
        <f>+[11]BS17A!$V50</f>
        <v>592970</v>
      </c>
      <c r="F213" s="8"/>
    </row>
    <row r="214" spans="1:6" ht="12.75" customHeight="1" x14ac:dyDescent="0.2">
      <c r="A214" s="22" t="s">
        <v>315</v>
      </c>
      <c r="B214" s="28" t="s">
        <v>316</v>
      </c>
      <c r="C214" s="24">
        <f>+[11]BS17A!$D51</f>
        <v>65</v>
      </c>
      <c r="D214" s="25">
        <f>+[11]BS17A!$U51</f>
        <v>31670</v>
      </c>
      <c r="E214" s="146">
        <f>+[11]BS17A!$V51</f>
        <v>2058550</v>
      </c>
      <c r="F214" s="8"/>
    </row>
    <row r="215" spans="1:6" ht="12.75" customHeight="1" x14ac:dyDescent="0.2">
      <c r="A215" s="104" t="s">
        <v>317</v>
      </c>
      <c r="B215" s="28" t="s">
        <v>318</v>
      </c>
      <c r="C215" s="24">
        <f>+[11]BS17A!D52</f>
        <v>15</v>
      </c>
      <c r="D215" s="172"/>
      <c r="E215" s="146">
        <f>+[11]BS17A!V52</f>
        <v>118500</v>
      </c>
      <c r="F215" s="8"/>
    </row>
    <row r="216" spans="1:6" ht="12.75" customHeight="1" x14ac:dyDescent="0.2">
      <c r="A216" s="29" t="s">
        <v>319</v>
      </c>
      <c r="B216" s="43" t="s">
        <v>320</v>
      </c>
      <c r="C216" s="31">
        <f>+[11]BS17A!$D1849</f>
        <v>44</v>
      </c>
      <c r="D216" s="40">
        <f>+[11]BS17A!$U1849</f>
        <v>25670</v>
      </c>
      <c r="E216" s="153">
        <f>+[11]BS17A!$V1849</f>
        <v>1129480</v>
      </c>
      <c r="F216" s="8"/>
    </row>
    <row r="217" spans="1:6" ht="12.75" x14ac:dyDescent="0.2">
      <c r="A217" s="130"/>
      <c r="B217" s="131" t="s">
        <v>321</v>
      </c>
      <c r="C217" s="44">
        <f>SUM(C208:C216)</f>
        <v>1215</v>
      </c>
      <c r="D217" s="151"/>
      <c r="E217" s="171">
        <f>SUM(E208:E216)</f>
        <v>6204410</v>
      </c>
      <c r="F217" s="8"/>
    </row>
    <row r="218" spans="1:6" ht="17.25" customHeight="1" x14ac:dyDescent="0.2">
      <c r="A218" s="8"/>
      <c r="B218" s="8"/>
      <c r="C218" s="8"/>
      <c r="D218" s="8"/>
      <c r="E218" s="8"/>
      <c r="F218" s="8"/>
    </row>
    <row r="219" spans="1:6" ht="18" customHeight="1" x14ac:dyDescent="0.2">
      <c r="A219" s="8"/>
      <c r="B219" s="8"/>
      <c r="C219" s="8"/>
      <c r="D219" s="8"/>
      <c r="E219" s="8"/>
      <c r="F219" s="8"/>
    </row>
    <row r="220" spans="1:6" ht="27.75" customHeight="1" x14ac:dyDescent="0.2">
      <c r="A220" s="257" t="s">
        <v>322</v>
      </c>
      <c r="B220" s="258"/>
      <c r="C220" s="259"/>
      <c r="D220" s="8"/>
      <c r="E220" s="8"/>
      <c r="F220" s="5"/>
    </row>
    <row r="221" spans="1:6" ht="36.75" customHeight="1" x14ac:dyDescent="0.2">
      <c r="A221" s="11" t="s">
        <v>8</v>
      </c>
      <c r="B221" s="11" t="s">
        <v>10</v>
      </c>
      <c r="C221" s="11" t="s">
        <v>12</v>
      </c>
      <c r="D221" s="5"/>
      <c r="E221" s="8"/>
      <c r="F221" s="8"/>
    </row>
    <row r="222" spans="1:6" ht="15" customHeight="1" x14ac:dyDescent="0.2">
      <c r="A222" s="17" t="s">
        <v>323</v>
      </c>
      <c r="B222" s="173" t="s">
        <v>324</v>
      </c>
      <c r="C222" s="174"/>
      <c r="D222" s="175"/>
      <c r="E222" s="8"/>
      <c r="F222" s="8"/>
    </row>
    <row r="223" spans="1:6" ht="15" customHeight="1" x14ac:dyDescent="0.2">
      <c r="A223" s="176" t="s">
        <v>325</v>
      </c>
      <c r="B223" s="177" t="s">
        <v>326</v>
      </c>
      <c r="C223" s="178"/>
      <c r="D223" s="175"/>
      <c r="E223" s="8"/>
      <c r="F223" s="8"/>
    </row>
    <row r="224" spans="1:6" ht="18" customHeight="1" x14ac:dyDescent="0.2">
      <c r="A224" s="179"/>
      <c r="B224" s="180" t="s">
        <v>327</v>
      </c>
      <c r="C224" s="181">
        <f>SUM(C222:C223)</f>
        <v>0</v>
      </c>
      <c r="D224" s="175"/>
      <c r="E224" s="8"/>
      <c r="F224" s="8"/>
    </row>
    <row r="225" spans="1:7" ht="18" customHeight="1" x14ac:dyDescent="0.2">
      <c r="A225" s="8"/>
      <c r="B225" s="8"/>
      <c r="C225" s="8"/>
      <c r="D225" s="175"/>
      <c r="E225" s="175"/>
      <c r="F225" s="175"/>
    </row>
    <row r="226" spans="1:7" ht="18" customHeight="1" x14ac:dyDescent="0.2">
      <c r="A226" s="8"/>
      <c r="B226" s="8"/>
      <c r="C226" s="8"/>
      <c r="D226" s="8"/>
      <c r="E226" s="8"/>
      <c r="F226" s="175"/>
      <c r="G226" s="182"/>
    </row>
    <row r="227" spans="1:7" ht="18" customHeight="1" x14ac:dyDescent="0.2">
      <c r="A227" s="256" t="s">
        <v>328</v>
      </c>
      <c r="B227" s="252"/>
      <c r="C227" s="252"/>
      <c r="D227" s="252"/>
      <c r="E227" s="253"/>
      <c r="F227" s="175"/>
      <c r="G227" s="182"/>
    </row>
    <row r="228" spans="1:7" ht="64.5" customHeight="1" x14ac:dyDescent="0.2">
      <c r="A228" s="11" t="s">
        <v>8</v>
      </c>
      <c r="B228" s="11" t="s">
        <v>9</v>
      </c>
      <c r="C228" s="12" t="s">
        <v>10</v>
      </c>
      <c r="D228" s="13" t="s">
        <v>11</v>
      </c>
      <c r="E228" s="14" t="s">
        <v>12</v>
      </c>
      <c r="F228" s="175"/>
      <c r="G228" s="182"/>
    </row>
    <row r="229" spans="1:7" ht="15" customHeight="1" x14ac:dyDescent="0.2">
      <c r="A229" s="17" t="s">
        <v>329</v>
      </c>
      <c r="B229" s="42" t="s">
        <v>330</v>
      </c>
      <c r="C229" s="154">
        <f>+[11]BS17A!$D1920</f>
        <v>450</v>
      </c>
      <c r="D229" s="37">
        <f>+[11]BS17A!$U1920</f>
        <v>17720</v>
      </c>
      <c r="E229" s="145">
        <f>+[11]BS17A!$V1920</f>
        <v>7974000</v>
      </c>
      <c r="F229" s="8"/>
    </row>
    <row r="230" spans="1:7" ht="15" customHeight="1" x14ac:dyDescent="0.2">
      <c r="A230" s="29" t="s">
        <v>331</v>
      </c>
      <c r="B230" s="43" t="s">
        <v>332</v>
      </c>
      <c r="C230" s="158">
        <f>+[11]BS17A!$D1921</f>
        <v>0</v>
      </c>
      <c r="D230" s="40">
        <f>+[11]BS17A!$U1921</f>
        <v>222170</v>
      </c>
      <c r="E230" s="153">
        <f>+[11]BS17A!$V1921</f>
        <v>0</v>
      </c>
      <c r="F230" s="8"/>
    </row>
    <row r="231" spans="1:7" ht="18" customHeight="1" x14ac:dyDescent="0.2">
      <c r="A231" s="130"/>
      <c r="B231" s="131" t="s">
        <v>333</v>
      </c>
      <c r="C231" s="44">
        <f>SUM(C229:C230)</f>
        <v>450</v>
      </c>
      <c r="D231" s="151"/>
      <c r="E231" s="152">
        <f>SUM(E229:E230)</f>
        <v>7974000</v>
      </c>
      <c r="F231" s="8"/>
    </row>
    <row r="232" spans="1:7" ht="18" customHeight="1" x14ac:dyDescent="0.2">
      <c r="A232" s="183"/>
      <c r="B232" s="184"/>
      <c r="C232" s="185"/>
      <c r="D232" s="183"/>
      <c r="E232" s="183"/>
      <c r="F232" s="8"/>
    </row>
    <row r="233" spans="1:7" ht="18" customHeight="1" x14ac:dyDescent="0.2">
      <c r="A233" s="183"/>
      <c r="B233" s="184"/>
      <c r="C233" s="185"/>
      <c r="D233" s="183"/>
      <c r="E233" s="183"/>
      <c r="F233" s="8"/>
    </row>
    <row r="234" spans="1:7" ht="18" customHeight="1" x14ac:dyDescent="0.2">
      <c r="A234" s="251" t="s">
        <v>334</v>
      </c>
      <c r="B234" s="252"/>
      <c r="C234" s="252"/>
      <c r="D234" s="252"/>
      <c r="E234" s="253"/>
      <c r="F234" s="8"/>
    </row>
    <row r="235" spans="1:7" ht="38.25" x14ac:dyDescent="0.2">
      <c r="A235" s="11" t="s">
        <v>8</v>
      </c>
      <c r="B235" s="11" t="s">
        <v>9</v>
      </c>
      <c r="C235" s="12" t="s">
        <v>10</v>
      </c>
      <c r="D235" s="13" t="s">
        <v>11</v>
      </c>
      <c r="E235" s="14" t="s">
        <v>12</v>
      </c>
      <c r="F235" s="8"/>
    </row>
    <row r="236" spans="1:7" ht="18" customHeight="1" x14ac:dyDescent="0.2">
      <c r="A236" s="142" t="s">
        <v>335</v>
      </c>
      <c r="B236" s="186" t="s">
        <v>336</v>
      </c>
      <c r="C236" s="187">
        <f>[11]BS17A!D764</f>
        <v>373</v>
      </c>
      <c r="D236" s="188"/>
      <c r="E236" s="189">
        <f>[11]BS17A!V764</f>
        <v>2331340</v>
      </c>
      <c r="F236" s="8"/>
    </row>
    <row r="237" spans="1:7" ht="18" customHeight="1" x14ac:dyDescent="0.2">
      <c r="A237" s="183"/>
      <c r="B237" s="184"/>
      <c r="C237" s="185"/>
      <c r="D237" s="183"/>
      <c r="E237" s="183"/>
      <c r="F237" s="8"/>
    </row>
    <row r="238" spans="1:7" ht="18" customHeight="1" x14ac:dyDescent="0.2">
      <c r="A238" s="251" t="s">
        <v>337</v>
      </c>
      <c r="B238" s="254"/>
      <c r="C238" s="254"/>
      <c r="D238" s="254"/>
      <c r="E238" s="255"/>
      <c r="F238" s="8"/>
    </row>
    <row r="239" spans="1:7" ht="41.25" customHeight="1" x14ac:dyDescent="0.2">
      <c r="A239" s="11" t="s">
        <v>8</v>
      </c>
      <c r="B239" s="12" t="s">
        <v>338</v>
      </c>
      <c r="C239" s="100" t="s">
        <v>339</v>
      </c>
      <c r="D239" s="13" t="s">
        <v>11</v>
      </c>
      <c r="E239" s="14" t="s">
        <v>12</v>
      </c>
      <c r="F239" s="8"/>
    </row>
    <row r="240" spans="1:7" ht="15" customHeight="1" x14ac:dyDescent="0.2">
      <c r="A240" s="190" t="s">
        <v>340</v>
      </c>
      <c r="B240" s="191" t="s">
        <v>341</v>
      </c>
      <c r="C240" s="19">
        <f>+[11]BS17A!$D1923</f>
        <v>0</v>
      </c>
      <c r="D240" s="37">
        <f>+[11]BS17A!$U1923</f>
        <v>226920</v>
      </c>
      <c r="E240" s="145">
        <f>+[11]BS17A!$V1923</f>
        <v>0</v>
      </c>
      <c r="F240" s="8"/>
    </row>
    <row r="241" spans="1:6" ht="15" customHeight="1" x14ac:dyDescent="0.2">
      <c r="A241" s="192" t="s">
        <v>342</v>
      </c>
      <c r="B241" s="193" t="s">
        <v>343</v>
      </c>
      <c r="C241" s="24">
        <f>+[11]BS17A!$D1924</f>
        <v>0</v>
      </c>
      <c r="D241" s="25">
        <f>+[11]BS17A!$U1924</f>
        <v>32250</v>
      </c>
      <c r="E241" s="146">
        <f>+[11]BS17A!$V1924</f>
        <v>0</v>
      </c>
      <c r="F241" s="8"/>
    </row>
    <row r="242" spans="1:6" ht="15" customHeight="1" x14ac:dyDescent="0.2">
      <c r="A242" s="192" t="s">
        <v>344</v>
      </c>
      <c r="B242" s="193" t="s">
        <v>345</v>
      </c>
      <c r="C242" s="24">
        <f>+[11]BS17A!$D1925</f>
        <v>0</v>
      </c>
      <c r="D242" s="25">
        <f>+[11]BS17A!$U1925</f>
        <v>121620</v>
      </c>
      <c r="E242" s="146">
        <f>+[11]BS17A!$V1925</f>
        <v>0</v>
      </c>
      <c r="F242" s="8"/>
    </row>
    <row r="243" spans="1:6" ht="15" customHeight="1" x14ac:dyDescent="0.2">
      <c r="A243" s="192" t="s">
        <v>346</v>
      </c>
      <c r="B243" s="193" t="s">
        <v>347</v>
      </c>
      <c r="C243" s="24">
        <f>+[11]BS17A!$D1926</f>
        <v>0</v>
      </c>
      <c r="D243" s="25">
        <f>+[11]BS17A!$U1926</f>
        <v>121620</v>
      </c>
      <c r="E243" s="146">
        <f>+[11]BS17A!$V1926</f>
        <v>0</v>
      </c>
      <c r="F243" s="8"/>
    </row>
    <row r="244" spans="1:6" ht="15" customHeight="1" x14ac:dyDescent="0.2">
      <c r="A244" s="192" t="s">
        <v>348</v>
      </c>
      <c r="B244" s="193" t="s">
        <v>349</v>
      </c>
      <c r="C244" s="24">
        <f>+[11]BS17A!$D1927</f>
        <v>0</v>
      </c>
      <c r="D244" s="25">
        <f>+[11]BS17A!$U1927</f>
        <v>221430</v>
      </c>
      <c r="E244" s="146">
        <f>+[11]BS17A!$V1927</f>
        <v>0</v>
      </c>
      <c r="F244" s="8"/>
    </row>
    <row r="245" spans="1:6" ht="15" customHeight="1" x14ac:dyDescent="0.2">
      <c r="A245" s="192" t="s">
        <v>350</v>
      </c>
      <c r="B245" s="193" t="s">
        <v>351</v>
      </c>
      <c r="C245" s="24">
        <f>+[11]BS17A!$D1928</f>
        <v>0</v>
      </c>
      <c r="D245" s="25">
        <f>+[11]BS17A!$U1928</f>
        <v>339820</v>
      </c>
      <c r="E245" s="146">
        <f>+[11]BS17A!$V1928</f>
        <v>0</v>
      </c>
      <c r="F245" s="8"/>
    </row>
    <row r="246" spans="1:6" ht="15" customHeight="1" x14ac:dyDescent="0.2">
      <c r="A246" s="192" t="s">
        <v>352</v>
      </c>
      <c r="B246" s="193" t="s">
        <v>353</v>
      </c>
      <c r="C246" s="24">
        <f>+[11]BS17A!$D1929</f>
        <v>0</v>
      </c>
      <c r="D246" s="25">
        <f>+[11]BS17A!$U1929</f>
        <v>579700</v>
      </c>
      <c r="E246" s="146">
        <f>+[11]BS17A!$V1929</f>
        <v>0</v>
      </c>
      <c r="F246" s="8"/>
    </row>
    <row r="247" spans="1:6" ht="15" customHeight="1" x14ac:dyDescent="0.2">
      <c r="A247" s="194" t="s">
        <v>354</v>
      </c>
      <c r="B247" s="193" t="s">
        <v>355</v>
      </c>
      <c r="C247" s="24">
        <f>+[11]BS17A!$D1930</f>
        <v>0</v>
      </c>
      <c r="D247" s="25">
        <f>+[11]BS17A!$U1930</f>
        <v>120740</v>
      </c>
      <c r="E247" s="146">
        <f>+[11]BS17A!$V1930</f>
        <v>0</v>
      </c>
      <c r="F247" s="8"/>
    </row>
    <row r="248" spans="1:6" ht="15" customHeight="1" x14ac:dyDescent="0.2">
      <c r="A248" s="194" t="s">
        <v>356</v>
      </c>
      <c r="B248" s="193" t="s">
        <v>357</v>
      </c>
      <c r="C248" s="24">
        <f>+[11]BS17A!$D1931</f>
        <v>0</v>
      </c>
      <c r="D248" s="25">
        <f>+[11]BS17A!$U1931</f>
        <v>325420</v>
      </c>
      <c r="E248" s="146">
        <f>+[11]BS17A!$V1931</f>
        <v>0</v>
      </c>
      <c r="F248" s="8"/>
    </row>
    <row r="249" spans="1:6" ht="15" customHeight="1" x14ac:dyDescent="0.2">
      <c r="A249" s="194" t="s">
        <v>358</v>
      </c>
      <c r="B249" s="193" t="s">
        <v>359</v>
      </c>
      <c r="C249" s="66">
        <f>+[11]BS17A!$D1932</f>
        <v>0</v>
      </c>
      <c r="D249" s="32">
        <f>+[11]BS17A!$U1932</f>
        <v>137020</v>
      </c>
      <c r="E249" s="195">
        <f>+[11]BS17A!$V1932</f>
        <v>0</v>
      </c>
      <c r="F249" s="8"/>
    </row>
    <row r="250" spans="1:6" ht="15" customHeight="1" x14ac:dyDescent="0.2">
      <c r="A250" s="194" t="s">
        <v>360</v>
      </c>
      <c r="B250" s="193" t="s">
        <v>361</v>
      </c>
      <c r="C250" s="66">
        <f>+[11]BS17A!$D1933</f>
        <v>0</v>
      </c>
      <c r="D250" s="32">
        <f>+[11]BS17A!$U1933</f>
        <v>119070</v>
      </c>
      <c r="E250" s="195">
        <f>+[11]BS17A!$V1933</f>
        <v>0</v>
      </c>
      <c r="F250" s="8"/>
    </row>
    <row r="251" spans="1:6" ht="15" customHeight="1" x14ac:dyDescent="0.2">
      <c r="A251" s="194" t="s">
        <v>362</v>
      </c>
      <c r="B251" s="193" t="s">
        <v>363</v>
      </c>
      <c r="C251" s="66">
        <f>+[11]BS17A!$D1934</f>
        <v>0</v>
      </c>
      <c r="D251" s="32">
        <f>+[11]BS17A!$U1934</f>
        <v>181020</v>
      </c>
      <c r="E251" s="195">
        <f>+[11]BS17A!$V1934</f>
        <v>0</v>
      </c>
      <c r="F251" s="8"/>
    </row>
    <row r="252" spans="1:6" ht="15" customHeight="1" x14ac:dyDescent="0.2">
      <c r="A252" s="194" t="s">
        <v>364</v>
      </c>
      <c r="B252" s="193" t="s">
        <v>365</v>
      </c>
      <c r="C252" s="66">
        <f>+[11]BS17A!$D1935</f>
        <v>0</v>
      </c>
      <c r="D252" s="32">
        <f>+[11]BS17A!$U1935</f>
        <v>47640</v>
      </c>
      <c r="E252" s="195">
        <f>+[11]BS17A!$V1935</f>
        <v>0</v>
      </c>
      <c r="F252" s="8"/>
    </row>
    <row r="253" spans="1:6" ht="15" customHeight="1" x14ac:dyDescent="0.2">
      <c r="A253" s="196" t="s">
        <v>366</v>
      </c>
      <c r="B253" s="197" t="s">
        <v>367</v>
      </c>
      <c r="C253" s="31">
        <f>+[11]BS17A!$D1936</f>
        <v>0</v>
      </c>
      <c r="D253" s="40">
        <f>+[11]BS17A!$U1936</f>
        <v>35600</v>
      </c>
      <c r="E253" s="153">
        <f>+[11]BS17A!$V1936</f>
        <v>0</v>
      </c>
      <c r="F253" s="8"/>
    </row>
    <row r="254" spans="1:6" ht="15" customHeight="1" x14ac:dyDescent="0.2">
      <c r="A254" s="242" t="s">
        <v>368</v>
      </c>
      <c r="B254" s="243"/>
      <c r="C254" s="243"/>
      <c r="D254" s="243"/>
      <c r="E254" s="244"/>
      <c r="F254" s="8"/>
    </row>
    <row r="255" spans="1:6" ht="15" customHeight="1" x14ac:dyDescent="0.2">
      <c r="A255" s="17" t="s">
        <v>369</v>
      </c>
      <c r="B255" s="198" t="s">
        <v>341</v>
      </c>
      <c r="C255" s="19">
        <f>+[11]BS17A!$D1937</f>
        <v>0</v>
      </c>
      <c r="D255" s="37">
        <f>+[11]BS17A!$U1937</f>
        <v>195210</v>
      </c>
      <c r="E255" s="145">
        <f>+[11]BS17A!$V1937</f>
        <v>0</v>
      </c>
      <c r="F255" s="8"/>
    </row>
    <row r="256" spans="1:6" ht="15" customHeight="1" x14ac:dyDescent="0.2">
      <c r="A256" s="22" t="s">
        <v>370</v>
      </c>
      <c r="B256" s="34" t="s">
        <v>371</v>
      </c>
      <c r="C256" s="24">
        <f>+[11]BS17A!$D1938</f>
        <v>0</v>
      </c>
      <c r="D256" s="25">
        <f>+[11]BS17A!$U1938</f>
        <v>1161300</v>
      </c>
      <c r="E256" s="146">
        <f>+[11]BS17A!$V1938</f>
        <v>0</v>
      </c>
      <c r="F256" s="8"/>
    </row>
    <row r="257" spans="1:6" ht="15" customHeight="1" x14ac:dyDescent="0.2">
      <c r="A257" s="22" t="s">
        <v>372</v>
      </c>
      <c r="B257" s="34" t="s">
        <v>373</v>
      </c>
      <c r="C257" s="24">
        <f>+[11]BS17A!$D1939</f>
        <v>0</v>
      </c>
      <c r="D257" s="25">
        <f>+[11]BS17A!$U1939</f>
        <v>175210</v>
      </c>
      <c r="E257" s="146">
        <f>+[11]BS17A!$V1939</f>
        <v>0</v>
      </c>
      <c r="F257" s="8"/>
    </row>
    <row r="258" spans="1:6" ht="15" customHeight="1" x14ac:dyDescent="0.2">
      <c r="A258" s="22" t="s">
        <v>374</v>
      </c>
      <c r="B258" s="34" t="s">
        <v>375</v>
      </c>
      <c r="C258" s="24">
        <f>+[11]BS17A!$D1940</f>
        <v>0</v>
      </c>
      <c r="D258" s="25">
        <f>+[11]BS17A!$U1940</f>
        <v>154940</v>
      </c>
      <c r="E258" s="146">
        <f>+[11]BS17A!$V1940</f>
        <v>0</v>
      </c>
      <c r="F258" s="8"/>
    </row>
    <row r="259" spans="1:6" ht="15" customHeight="1" x14ac:dyDescent="0.2">
      <c r="A259" s="22" t="s">
        <v>376</v>
      </c>
      <c r="B259" s="34" t="s">
        <v>377</v>
      </c>
      <c r="C259" s="24">
        <f>+[11]BS17A!$D1941</f>
        <v>0</v>
      </c>
      <c r="D259" s="25">
        <f>+[11]BS17A!$U1941</f>
        <v>314530</v>
      </c>
      <c r="E259" s="146">
        <f>+[11]BS17A!$V1941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24">
        <f>+[11]BS17A!$D1942</f>
        <v>0</v>
      </c>
      <c r="D260" s="25">
        <f>+[11]BS17A!$U1942</f>
        <v>1045930</v>
      </c>
      <c r="E260" s="146">
        <f>+[11]BS17A!$V1942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24">
        <f>+[11]BS17A!$D1943</f>
        <v>0</v>
      </c>
      <c r="D261" s="25">
        <f>+[11]BS17A!$U1943</f>
        <v>1074870</v>
      </c>
      <c r="E261" s="146">
        <f>+[11]BS17A!$V1943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24">
        <f>+[11]BS17A!$D1944</f>
        <v>0</v>
      </c>
      <c r="D262" s="25">
        <f>+[11]BS17A!$U1944</f>
        <v>851060</v>
      </c>
      <c r="E262" s="146">
        <f>+[11]BS17A!$V1944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24">
        <f>+[11]BS17A!$D1945</f>
        <v>0</v>
      </c>
      <c r="D263" s="25">
        <f>+[11]BS17A!$U1945</f>
        <v>896940</v>
      </c>
      <c r="E263" s="146">
        <f>+[11]BS17A!$V1945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24">
        <f>+[11]BS17A!$D1946</f>
        <v>0</v>
      </c>
      <c r="D264" s="25">
        <f>+[11]BS17A!$U1946</f>
        <v>353830</v>
      </c>
      <c r="E264" s="146">
        <f>+[11]BS17A!$V1946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24">
        <f>+[11]BS17A!$D1947</f>
        <v>0</v>
      </c>
      <c r="D265" s="25">
        <f>+[11]BS17A!$U1947</f>
        <v>84740</v>
      </c>
      <c r="E265" s="146">
        <f>+[11]BS17A!$V1947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24">
        <f>+[11]BS17A!$D1948</f>
        <v>0</v>
      </c>
      <c r="D266" s="25">
        <f>+[11]BS17A!$U1948</f>
        <v>252810</v>
      </c>
      <c r="E266" s="146">
        <f>+[11]BS17A!$V1948</f>
        <v>0</v>
      </c>
      <c r="F266" s="8"/>
    </row>
    <row r="267" spans="1:6" ht="15" customHeight="1" x14ac:dyDescent="0.2">
      <c r="A267" s="22" t="s">
        <v>392</v>
      </c>
      <c r="B267" s="23" t="s">
        <v>393</v>
      </c>
      <c r="C267" s="24">
        <f>+[11]BS17A!$D1949</f>
        <v>0</v>
      </c>
      <c r="D267" s="25">
        <f>+[11]BS17A!$U1949</f>
        <v>71480</v>
      </c>
      <c r="E267" s="146">
        <f>+[11]BS17A!$V1949</f>
        <v>0</v>
      </c>
      <c r="F267" s="8"/>
    </row>
    <row r="268" spans="1:6" ht="15" customHeight="1" x14ac:dyDescent="0.2">
      <c r="A268" s="22" t="s">
        <v>394</v>
      </c>
      <c r="B268" s="23" t="s">
        <v>395</v>
      </c>
      <c r="C268" s="24">
        <f>+[11]BS17A!$D1950</f>
        <v>0</v>
      </c>
      <c r="D268" s="25">
        <f>+[11]BS17A!$U1950</f>
        <v>1228260</v>
      </c>
      <c r="E268" s="146">
        <f>+[11]BS17A!$V1950</f>
        <v>0</v>
      </c>
      <c r="F268" s="8"/>
    </row>
    <row r="269" spans="1:6" ht="15" customHeight="1" x14ac:dyDescent="0.2">
      <c r="A269" s="22" t="s">
        <v>396</v>
      </c>
      <c r="B269" s="23" t="s">
        <v>397</v>
      </c>
      <c r="C269" s="24">
        <f>+[11]BS17A!$D1951</f>
        <v>0</v>
      </c>
      <c r="D269" s="25">
        <f>+[11]BS17A!$U1951</f>
        <v>287200</v>
      </c>
      <c r="E269" s="146">
        <f>+[11]BS17A!$V1951</f>
        <v>0</v>
      </c>
      <c r="F269" s="8"/>
    </row>
    <row r="270" spans="1:6" ht="15" customHeight="1" x14ac:dyDescent="0.2">
      <c r="A270" s="22" t="s">
        <v>398</v>
      </c>
      <c r="B270" s="23" t="s">
        <v>399</v>
      </c>
      <c r="C270" s="24">
        <f>+[11]BS17A!$D1952</f>
        <v>0</v>
      </c>
      <c r="D270" s="25">
        <f>+[11]BS17A!$U1952</f>
        <v>962120</v>
      </c>
      <c r="E270" s="146">
        <f>+[11]BS17A!$V1952</f>
        <v>0</v>
      </c>
      <c r="F270" s="8"/>
    </row>
    <row r="271" spans="1:6" ht="15" customHeight="1" x14ac:dyDescent="0.2">
      <c r="A271" s="22" t="s">
        <v>400</v>
      </c>
      <c r="B271" s="30" t="s">
        <v>401</v>
      </c>
      <c r="C271" s="24">
        <f>+[11]BS17A!$D1953</f>
        <v>0</v>
      </c>
      <c r="D271" s="25">
        <f>+[11]BS17A!$U1953</f>
        <v>589010</v>
      </c>
      <c r="E271" s="146">
        <f>+[11]BS17A!$V1953</f>
        <v>0</v>
      </c>
      <c r="F271" s="8"/>
    </row>
    <row r="272" spans="1:6" ht="15" customHeight="1" x14ac:dyDescent="0.2">
      <c r="A272" s="29" t="s">
        <v>402</v>
      </c>
      <c r="B272" s="30" t="s">
        <v>403</v>
      </c>
      <c r="C272" s="31">
        <f>+[11]BS17A!$D1954</f>
        <v>0</v>
      </c>
      <c r="D272" s="32">
        <f>+[11]BS17A!$U1954</f>
        <v>480670</v>
      </c>
      <c r="E272" s="195">
        <f>+[11]BS17A!$V1954</f>
        <v>0</v>
      </c>
      <c r="F272" s="8"/>
    </row>
    <row r="273" spans="1:10" ht="15" customHeight="1" x14ac:dyDescent="0.2">
      <c r="A273" s="242" t="s">
        <v>404</v>
      </c>
      <c r="B273" s="243"/>
      <c r="C273" s="243"/>
      <c r="D273" s="243"/>
      <c r="E273" s="244"/>
      <c r="F273" s="8"/>
    </row>
    <row r="274" spans="1:10" ht="15" customHeight="1" x14ac:dyDescent="0.2">
      <c r="A274" s="17" t="s">
        <v>405</v>
      </c>
      <c r="B274" s="18" t="s">
        <v>406</v>
      </c>
      <c r="C274" s="70">
        <f>+[11]BS17A!$D1955</f>
        <v>0</v>
      </c>
      <c r="D274" s="20">
        <f>[11]BS17A!U1955</f>
        <v>259110</v>
      </c>
      <c r="E274" s="199">
        <f>+[11]BS17A!$V1955</f>
        <v>0</v>
      </c>
      <c r="F274" s="8"/>
    </row>
    <row r="275" spans="1:10" ht="15" customHeight="1" x14ac:dyDescent="0.2">
      <c r="A275" s="22" t="s">
        <v>407</v>
      </c>
      <c r="B275" s="23" t="s">
        <v>408</v>
      </c>
      <c r="C275" s="24">
        <f>+[11]BS17A!$D1956</f>
        <v>0</v>
      </c>
      <c r="D275" s="25">
        <f>[11]BS17A!U1956</f>
        <v>151070</v>
      </c>
      <c r="E275" s="146">
        <f>+[11]BS17A!$V1956</f>
        <v>0</v>
      </c>
      <c r="F275" s="8"/>
    </row>
    <row r="276" spans="1:10" ht="15" customHeight="1" x14ac:dyDescent="0.2">
      <c r="A276" s="22" t="s">
        <v>409</v>
      </c>
      <c r="B276" s="23" t="s">
        <v>410</v>
      </c>
      <c r="C276" s="24">
        <f>+[11]BS17A!$D1957</f>
        <v>0</v>
      </c>
      <c r="D276" s="25">
        <f>[11]BS17A!U1957</f>
        <v>365020</v>
      </c>
      <c r="E276" s="146">
        <f>+[11]BS17A!$V1957</f>
        <v>0</v>
      </c>
      <c r="F276" s="8"/>
    </row>
    <row r="277" spans="1:10" ht="15" customHeight="1" x14ac:dyDescent="0.2">
      <c r="A277" s="22" t="s">
        <v>411</v>
      </c>
      <c r="B277" s="23" t="s">
        <v>412</v>
      </c>
      <c r="C277" s="24">
        <f>+[11]BS17A!$D1958</f>
        <v>0</v>
      </c>
      <c r="D277" s="25">
        <f>[11]BS17A!U1958</f>
        <v>378270</v>
      </c>
      <c r="E277" s="146">
        <f>+[11]BS17A!$V1958</f>
        <v>0</v>
      </c>
      <c r="F277" s="8"/>
    </row>
    <row r="278" spans="1:10" ht="15" customHeight="1" x14ac:dyDescent="0.2">
      <c r="A278" s="29" t="s">
        <v>413</v>
      </c>
      <c r="B278" s="39" t="s">
        <v>414</v>
      </c>
      <c r="C278" s="31">
        <f>+[11]BS17A!$D1959</f>
        <v>0</v>
      </c>
      <c r="D278" s="40">
        <f>[11]BS17A!U1959</f>
        <v>236360</v>
      </c>
      <c r="E278" s="153">
        <f>+[11]BS17A!$V1959</f>
        <v>0</v>
      </c>
      <c r="F278" s="200"/>
    </row>
    <row r="279" spans="1:10" ht="15" customHeight="1" x14ac:dyDescent="0.2">
      <c r="A279" s="201" t="s">
        <v>415</v>
      </c>
      <c r="B279" s="202" t="s">
        <v>416</v>
      </c>
      <c r="C279" s="203">
        <f>+[11]BS17A!$D1960</f>
        <v>100</v>
      </c>
      <c r="D279" s="204">
        <f>[11]BS17A!U1960</f>
        <v>32140</v>
      </c>
      <c r="E279" s="189">
        <f>+[11]BS17A!$V1960</f>
        <v>3214000</v>
      </c>
      <c r="F279" s="200"/>
    </row>
    <row r="280" spans="1:10" ht="15" customHeight="1" x14ac:dyDescent="0.2">
      <c r="A280" s="130"/>
      <c r="B280" s="205" t="s">
        <v>417</v>
      </c>
      <c r="C280" s="44">
        <f>SUM(C240:C279)</f>
        <v>100</v>
      </c>
      <c r="D280" s="151"/>
      <c r="E280" s="152">
        <f>SUM(E240:E279)</f>
        <v>3214000</v>
      </c>
      <c r="F280" s="200"/>
    </row>
    <row r="281" spans="1:10" ht="18" customHeight="1" x14ac:dyDescent="0.2">
      <c r="A281" s="183"/>
      <c r="B281" s="8"/>
      <c r="C281" s="8"/>
      <c r="D281" s="183"/>
      <c r="E281" s="183"/>
      <c r="F281" s="8"/>
    </row>
    <row r="282" spans="1:10" ht="18" customHeight="1" x14ac:dyDescent="0.2">
      <c r="A282" s="183"/>
      <c r="B282" s="185"/>
      <c r="C282" s="185"/>
      <c r="D282" s="183"/>
      <c r="E282" s="183"/>
      <c r="F282" s="206"/>
      <c r="G282" s="207"/>
      <c r="J282" s="208"/>
    </row>
    <row r="283" spans="1:10" ht="12.75" customHeight="1" x14ac:dyDescent="0.2">
      <c r="A283" s="251" t="s">
        <v>418</v>
      </c>
      <c r="B283" s="254"/>
      <c r="C283" s="254"/>
      <c r="D283" s="254"/>
      <c r="E283" s="255"/>
      <c r="F283" s="8"/>
    </row>
    <row r="284" spans="1:10" ht="44.25" customHeight="1" x14ac:dyDescent="0.2">
      <c r="A284" s="11" t="s">
        <v>8</v>
      </c>
      <c r="B284" s="11" t="s">
        <v>418</v>
      </c>
      <c r="C284" s="12" t="s">
        <v>339</v>
      </c>
      <c r="D284" s="13" t="s">
        <v>11</v>
      </c>
      <c r="E284" s="14" t="s">
        <v>12</v>
      </c>
      <c r="F284" s="200"/>
    </row>
    <row r="285" spans="1:10" ht="15" customHeight="1" x14ac:dyDescent="0.2">
      <c r="A285" s="17" t="s">
        <v>419</v>
      </c>
      <c r="B285" s="209" t="s">
        <v>420</v>
      </c>
      <c r="C285" s="19">
        <f>+[11]BS17A!$D1962</f>
        <v>7</v>
      </c>
      <c r="D285" s="37">
        <f>+[11]BS17A!$U1962</f>
        <v>6320</v>
      </c>
      <c r="E285" s="145">
        <f>+[11]BS17A!$V1962</f>
        <v>44240</v>
      </c>
      <c r="F285" s="8"/>
    </row>
    <row r="286" spans="1:10" ht="15" customHeight="1" x14ac:dyDescent="0.2">
      <c r="A286" s="22" t="s">
        <v>421</v>
      </c>
      <c r="B286" s="210" t="s">
        <v>422</v>
      </c>
      <c r="C286" s="24">
        <f>+[11]BS17A!$D1963</f>
        <v>0</v>
      </c>
      <c r="D286" s="25">
        <f>+[11]BS17A!$U1963</f>
        <v>3370</v>
      </c>
      <c r="E286" s="146">
        <f>+[11]BS17A!$V1963</f>
        <v>0</v>
      </c>
      <c r="F286" s="8"/>
    </row>
    <row r="287" spans="1:10" ht="15" customHeight="1" x14ac:dyDescent="0.2">
      <c r="A287" s="22" t="s">
        <v>423</v>
      </c>
      <c r="B287" s="210" t="s">
        <v>424</v>
      </c>
      <c r="C287" s="24">
        <f>+[11]BS17A!$D1964</f>
        <v>2</v>
      </c>
      <c r="D287" s="25">
        <f>+[11]BS17A!$U1964</f>
        <v>12690</v>
      </c>
      <c r="E287" s="146">
        <f>+[11]BS17A!$V1964</f>
        <v>25380</v>
      </c>
      <c r="F287" s="8"/>
    </row>
    <row r="288" spans="1:10" ht="15" customHeight="1" x14ac:dyDescent="0.2">
      <c r="A288" s="22" t="s">
        <v>425</v>
      </c>
      <c r="B288" s="210" t="s">
        <v>426</v>
      </c>
      <c r="C288" s="24">
        <f>+[11]BS17A!$D1965</f>
        <v>0</v>
      </c>
      <c r="D288" s="25">
        <f>+[11]BS17A!$U1965</f>
        <v>130140</v>
      </c>
      <c r="E288" s="146">
        <f>+[11]BS17A!$V1965</f>
        <v>0</v>
      </c>
      <c r="F288" s="8"/>
    </row>
    <row r="289" spans="1:7" ht="15" customHeight="1" x14ac:dyDescent="0.2">
      <c r="A289" s="29" t="s">
        <v>427</v>
      </c>
      <c r="B289" s="211" t="s">
        <v>428</v>
      </c>
      <c r="C289" s="31">
        <f>+[11]BS17A!$D1966</f>
        <v>0</v>
      </c>
      <c r="D289" s="40">
        <f>+[11]BS17A!$U1966</f>
        <v>714770</v>
      </c>
      <c r="E289" s="153">
        <f>+[11]BS17A!$V1966</f>
        <v>0</v>
      </c>
      <c r="F289" s="8"/>
    </row>
    <row r="290" spans="1:7" ht="15" customHeight="1" x14ac:dyDescent="0.2">
      <c r="A290" s="130"/>
      <c r="B290" s="131" t="s">
        <v>429</v>
      </c>
      <c r="C290" s="56">
        <f>SUM(C285:C289)</f>
        <v>9</v>
      </c>
      <c r="D290" s="57"/>
      <c r="E290" s="107">
        <f>SUM(E285:E289)</f>
        <v>69620</v>
      </c>
      <c r="F290" s="8"/>
    </row>
    <row r="291" spans="1:7" ht="18" customHeight="1" x14ac:dyDescent="0.2">
      <c r="A291" s="183"/>
      <c r="B291" s="185"/>
      <c r="C291" s="183"/>
      <c r="D291" s="183"/>
      <c r="E291" s="183"/>
      <c r="F291" s="8"/>
    </row>
    <row r="292" spans="1:7" ht="18" customHeight="1" x14ac:dyDescent="0.2">
      <c r="A292" s="183"/>
      <c r="B292" s="185"/>
      <c r="C292" s="183"/>
      <c r="D292" s="183"/>
      <c r="E292" s="183"/>
      <c r="F292" s="212"/>
      <c r="G292" s="10"/>
    </row>
    <row r="293" spans="1:7" ht="12.75" x14ac:dyDescent="0.2">
      <c r="A293" s="242" t="s">
        <v>430</v>
      </c>
      <c r="B293" s="243"/>
      <c r="C293" s="243"/>
      <c r="D293" s="243"/>
      <c r="E293" s="244"/>
      <c r="F293" s="213"/>
      <c r="G293" s="10"/>
    </row>
    <row r="294" spans="1:7" ht="36.75" customHeight="1" x14ac:dyDescent="0.2">
      <c r="A294" s="11" t="s">
        <v>8</v>
      </c>
      <c r="B294" s="214" t="s">
        <v>430</v>
      </c>
      <c r="C294" s="215" t="s">
        <v>431</v>
      </c>
      <c r="D294" s="13" t="s">
        <v>11</v>
      </c>
      <c r="E294" s="14" t="s">
        <v>12</v>
      </c>
      <c r="F294" s="213"/>
      <c r="G294" s="10"/>
    </row>
    <row r="295" spans="1:7" ht="15" customHeight="1" x14ac:dyDescent="0.2">
      <c r="A295" s="17" t="s">
        <v>432</v>
      </c>
      <c r="B295" s="36" t="s">
        <v>433</v>
      </c>
      <c r="C295" s="19">
        <f>+[11]BS17A!$D1851</f>
        <v>259</v>
      </c>
      <c r="D295" s="37">
        <f>+[11]BS17A!$U1851</f>
        <v>16920</v>
      </c>
      <c r="E295" s="145">
        <f>+[11]BS17A!$V1851</f>
        <v>4382280</v>
      </c>
      <c r="F295" s="8"/>
    </row>
    <row r="296" spans="1:7" ht="15" customHeight="1" x14ac:dyDescent="0.2">
      <c r="A296" s="22" t="s">
        <v>434</v>
      </c>
      <c r="B296" s="28" t="s">
        <v>435</v>
      </c>
      <c r="C296" s="24">
        <f>+[11]BS17A!$D1852</f>
        <v>186</v>
      </c>
      <c r="D296" s="25">
        <f>+[11]BS17A!$U1852</f>
        <v>53200</v>
      </c>
      <c r="E296" s="146">
        <f>+[11]BS17A!$V1852</f>
        <v>9895200</v>
      </c>
      <c r="F296" s="8"/>
    </row>
    <row r="297" spans="1:7" ht="15" customHeight="1" x14ac:dyDescent="0.2">
      <c r="A297" s="22" t="s">
        <v>436</v>
      </c>
      <c r="B297" s="28" t="s">
        <v>437</v>
      </c>
      <c r="C297" s="24">
        <f>+[11]BS17A!$D1853</f>
        <v>0</v>
      </c>
      <c r="D297" s="25">
        <f>+[11]BS17A!$U1853</f>
        <v>65950</v>
      </c>
      <c r="E297" s="146">
        <f>+[11]BS17A!$V1853</f>
        <v>0</v>
      </c>
      <c r="F297" s="8"/>
    </row>
    <row r="298" spans="1:7" ht="15" customHeight="1" x14ac:dyDescent="0.2">
      <c r="A298" s="22" t="s">
        <v>438</v>
      </c>
      <c r="B298" s="28" t="s">
        <v>439</v>
      </c>
      <c r="C298" s="24">
        <f>+[11]BS17A!$D1854</f>
        <v>167</v>
      </c>
      <c r="D298" s="25">
        <f>+[11]BS17A!$U1854</f>
        <v>2320</v>
      </c>
      <c r="E298" s="146">
        <f>+[11]BS17A!$V1854</f>
        <v>387440</v>
      </c>
      <c r="F298" s="8"/>
    </row>
    <row r="299" spans="1:7" ht="15" customHeight="1" x14ac:dyDescent="0.2">
      <c r="A299" s="22" t="s">
        <v>440</v>
      </c>
      <c r="B299" s="28" t="s">
        <v>441</v>
      </c>
      <c r="C299" s="24">
        <f>+[11]BS17A!$D1855</f>
        <v>0</v>
      </c>
      <c r="D299" s="25">
        <f>+[11]BS17A!$U1855</f>
        <v>70</v>
      </c>
      <c r="E299" s="146">
        <f>+[11]BS17A!$V1855</f>
        <v>0</v>
      </c>
      <c r="F299" s="8"/>
    </row>
    <row r="300" spans="1:7" ht="15" customHeight="1" x14ac:dyDescent="0.2">
      <c r="A300" s="22" t="s">
        <v>442</v>
      </c>
      <c r="B300" s="23" t="s">
        <v>443</v>
      </c>
      <c r="C300" s="24">
        <f>+[11]BS17A!$D1856</f>
        <v>0</v>
      </c>
      <c r="D300" s="25">
        <f>+[11]BS17A!$U1856</f>
        <v>140030</v>
      </c>
      <c r="E300" s="146">
        <f>+[11]BS17A!$V1856</f>
        <v>0</v>
      </c>
      <c r="F300" s="8"/>
    </row>
    <row r="301" spans="1:7" ht="15" customHeight="1" x14ac:dyDescent="0.2">
      <c r="A301" s="29" t="s">
        <v>444</v>
      </c>
      <c r="B301" s="43" t="s">
        <v>445</v>
      </c>
      <c r="C301" s="31">
        <f>+[11]BS17A!$D1857</f>
        <v>0</v>
      </c>
      <c r="D301" s="40">
        <f>+[11]BS17A!$U1857</f>
        <v>9520</v>
      </c>
      <c r="E301" s="153">
        <f>+[11]BS17A!$V1857</f>
        <v>0</v>
      </c>
      <c r="F301" s="8"/>
    </row>
    <row r="302" spans="1:7" ht="15" customHeight="1" x14ac:dyDescent="0.2">
      <c r="A302" s="96"/>
      <c r="B302" s="246" t="s">
        <v>446</v>
      </c>
      <c r="C302" s="247"/>
      <c r="D302" s="188"/>
      <c r="E302" s="217">
        <f>SUM(E295:E301)</f>
        <v>14664920</v>
      </c>
      <c r="F302" s="8"/>
    </row>
    <row r="303" spans="1:7" ht="12.75" x14ac:dyDescent="0.2">
      <c r="A303" s="8"/>
      <c r="B303" s="8"/>
      <c r="C303" s="8"/>
      <c r="D303" s="8"/>
      <c r="E303" s="8"/>
      <c r="F303" s="175"/>
      <c r="G303" s="182"/>
    </row>
    <row r="304" spans="1:7" ht="12.75" x14ac:dyDescent="0.2">
      <c r="A304" s="8"/>
      <c r="B304" s="8"/>
      <c r="C304" s="8"/>
      <c r="D304" s="8"/>
      <c r="E304" s="8"/>
      <c r="F304" s="175"/>
      <c r="G304" s="182"/>
    </row>
    <row r="305" spans="1:7" ht="12.75" x14ac:dyDescent="0.2">
      <c r="A305" s="239" t="s">
        <v>447</v>
      </c>
      <c r="B305" s="240"/>
      <c r="C305" s="240"/>
      <c r="D305" s="240"/>
      <c r="E305" s="241"/>
      <c r="F305" s="175"/>
      <c r="G305" s="182"/>
    </row>
    <row r="306" spans="1:7" ht="12.75" x14ac:dyDescent="0.2">
      <c r="A306" s="218"/>
      <c r="B306" s="248" t="s">
        <v>448</v>
      </c>
      <c r="C306" s="249"/>
      <c r="D306" s="250"/>
      <c r="E306" s="219">
        <f>+E231+E236+E280+E290+E302</f>
        <v>28253880</v>
      </c>
      <c r="F306" s="8"/>
    </row>
    <row r="307" spans="1:7" ht="12.75" x14ac:dyDescent="0.2">
      <c r="A307" s="8"/>
      <c r="B307" s="8"/>
      <c r="C307" s="8"/>
      <c r="D307" s="8"/>
      <c r="E307" s="8"/>
      <c r="F307" s="175"/>
      <c r="G307" s="182"/>
    </row>
    <row r="308" spans="1:7" ht="12.75" x14ac:dyDescent="0.2">
      <c r="A308" s="8"/>
      <c r="B308" s="8"/>
      <c r="C308" s="8"/>
      <c r="D308" s="8"/>
      <c r="E308" s="8"/>
      <c r="F308" s="175"/>
      <c r="G308" s="182"/>
    </row>
    <row r="309" spans="1:7" ht="12.75" x14ac:dyDescent="0.2">
      <c r="A309" s="239" t="s">
        <v>449</v>
      </c>
      <c r="B309" s="240"/>
      <c r="C309" s="240"/>
      <c r="D309" s="240"/>
      <c r="E309" s="241"/>
      <c r="F309" s="175"/>
      <c r="G309" s="182"/>
    </row>
    <row r="310" spans="1:7" ht="25.5" x14ac:dyDescent="0.2">
      <c r="A310" s="242" t="s">
        <v>450</v>
      </c>
      <c r="B310" s="243"/>
      <c r="C310" s="243"/>
      <c r="D310" s="244"/>
      <c r="E310" s="11" t="s">
        <v>12</v>
      </c>
      <c r="F310" s="175"/>
      <c r="G310" s="182"/>
    </row>
    <row r="311" spans="1:7" ht="15" customHeight="1" x14ac:dyDescent="0.2">
      <c r="A311" s="218"/>
      <c r="B311" s="248" t="s">
        <v>451</v>
      </c>
      <c r="C311" s="249"/>
      <c r="D311" s="250"/>
      <c r="E311" s="219">
        <f>+E50+E76+E84+F109+E116+C121+E148+E155+E167+E203+E217+C224+E306</f>
        <v>614620390</v>
      </c>
      <c r="F311" s="175"/>
      <c r="G311" s="182"/>
    </row>
    <row r="312" spans="1:7" ht="18" customHeight="1" x14ac:dyDescent="0.2">
      <c r="A312" s="8"/>
      <c r="B312" s="8"/>
      <c r="C312" s="8"/>
      <c r="D312" s="8"/>
      <c r="E312" s="8"/>
      <c r="F312" s="5"/>
    </row>
    <row r="313" spans="1:7" ht="18" customHeight="1" x14ac:dyDescent="0.2">
      <c r="A313" s="8"/>
      <c r="B313" s="8"/>
      <c r="C313" s="8"/>
      <c r="D313" s="8"/>
      <c r="E313" s="8"/>
      <c r="F313" s="5"/>
    </row>
    <row r="314" spans="1:7" ht="18" customHeight="1" x14ac:dyDescent="0.2">
      <c r="A314" s="239" t="s">
        <v>452</v>
      </c>
      <c r="B314" s="240"/>
      <c r="C314" s="241"/>
      <c r="D314" s="8"/>
      <c r="E314" s="8"/>
      <c r="F314" s="5"/>
    </row>
    <row r="315" spans="1:7" ht="18" customHeight="1" x14ac:dyDescent="0.2">
      <c r="A315" s="242" t="s">
        <v>453</v>
      </c>
      <c r="B315" s="243"/>
      <c r="C315" s="244"/>
      <c r="D315" s="8"/>
      <c r="E315" s="8"/>
      <c r="F315" s="5"/>
    </row>
    <row r="316" spans="1:7" ht="30.75" customHeight="1" x14ac:dyDescent="0.2">
      <c r="A316" s="239" t="s">
        <v>454</v>
      </c>
      <c r="B316" s="240"/>
      <c r="C316" s="11" t="s">
        <v>455</v>
      </c>
      <c r="D316" s="8"/>
      <c r="E316" s="8"/>
      <c r="F316" s="8"/>
    </row>
    <row r="317" spans="1:7" ht="15" customHeight="1" x14ac:dyDescent="0.2">
      <c r="A317" s="220" t="s">
        <v>456</v>
      </c>
      <c r="B317" s="191"/>
      <c r="C317" s="221"/>
      <c r="D317" s="8"/>
      <c r="E317" s="8"/>
      <c r="F317" s="8"/>
    </row>
    <row r="318" spans="1:7" ht="15" customHeight="1" x14ac:dyDescent="0.2">
      <c r="A318" s="24" t="s">
        <v>457</v>
      </c>
      <c r="B318" s="193"/>
      <c r="C318" s="222"/>
      <c r="D318" s="8"/>
      <c r="E318" s="8"/>
      <c r="F318" s="8"/>
    </row>
    <row r="319" spans="1:7" ht="15" customHeight="1" x14ac:dyDescent="0.2">
      <c r="A319" s="24" t="s">
        <v>458</v>
      </c>
      <c r="B319" s="193"/>
      <c r="C319" s="222"/>
      <c r="D319" s="8"/>
      <c r="E319" s="8"/>
      <c r="F319" s="8"/>
    </row>
    <row r="320" spans="1:7" ht="15" customHeight="1" x14ac:dyDescent="0.2">
      <c r="A320" s="223" t="s">
        <v>459</v>
      </c>
      <c r="B320" s="193"/>
      <c r="C320" s="222"/>
      <c r="D320" s="8"/>
      <c r="E320" s="8"/>
      <c r="F320" s="8"/>
    </row>
    <row r="321" spans="1:6" ht="15" customHeight="1" x14ac:dyDescent="0.2">
      <c r="A321" s="224" t="s">
        <v>460</v>
      </c>
      <c r="B321" s="225"/>
      <c r="C321" s="226">
        <f>SUM(C317:C320)</f>
        <v>0</v>
      </c>
      <c r="D321" s="8"/>
      <c r="E321" s="8"/>
      <c r="F321" s="8"/>
    </row>
    <row r="322" spans="1:6" ht="15" customHeight="1" x14ac:dyDescent="0.2">
      <c r="A322" s="19" t="s">
        <v>461</v>
      </c>
      <c r="B322" s="227"/>
      <c r="C322" s="221">
        <v>5185244</v>
      </c>
      <c r="D322" s="8"/>
      <c r="E322" s="8"/>
      <c r="F322" s="8"/>
    </row>
    <row r="323" spans="1:6" ht="15" customHeight="1" x14ac:dyDescent="0.2">
      <c r="A323" s="228" t="s">
        <v>462</v>
      </c>
      <c r="B323" s="229"/>
      <c r="C323" s="222"/>
      <c r="D323" s="8"/>
      <c r="E323" s="8"/>
      <c r="F323" s="8"/>
    </row>
    <row r="324" spans="1:6" ht="15" customHeight="1" x14ac:dyDescent="0.2">
      <c r="A324" s="24" t="s">
        <v>463</v>
      </c>
      <c r="B324" s="229"/>
      <c r="C324" s="222"/>
      <c r="D324" s="8"/>
      <c r="E324" s="8"/>
      <c r="F324" s="8"/>
    </row>
    <row r="325" spans="1:6" ht="15" customHeight="1" x14ac:dyDescent="0.2">
      <c r="A325" s="24" t="s">
        <v>464</v>
      </c>
      <c r="B325" s="229"/>
      <c r="C325" s="222"/>
      <c r="D325" s="8"/>
      <c r="E325" s="8"/>
      <c r="F325" s="8"/>
    </row>
    <row r="326" spans="1:6" ht="15" customHeight="1" x14ac:dyDescent="0.2">
      <c r="A326" s="228" t="s">
        <v>465</v>
      </c>
      <c r="B326" s="229"/>
      <c r="C326" s="222"/>
      <c r="D326" s="8"/>
      <c r="E326" s="8"/>
      <c r="F326" s="8"/>
    </row>
    <row r="327" spans="1:6" ht="15" customHeight="1" x14ac:dyDescent="0.2">
      <c r="A327" s="228" t="s">
        <v>466</v>
      </c>
      <c r="B327" s="229"/>
      <c r="C327" s="222"/>
      <c r="D327" s="8"/>
      <c r="E327" s="8"/>
      <c r="F327" s="8"/>
    </row>
    <row r="328" spans="1:6" ht="15" customHeight="1" x14ac:dyDescent="0.2">
      <c r="A328" s="230" t="s">
        <v>467</v>
      </c>
      <c r="B328" s="231"/>
      <c r="C328" s="232">
        <v>38825113</v>
      </c>
      <c r="D328" s="8"/>
      <c r="E328" s="8"/>
      <c r="F328" s="8"/>
    </row>
    <row r="329" spans="1:6" ht="15" customHeight="1" x14ac:dyDescent="0.2">
      <c r="A329" s="44"/>
      <c r="B329" s="233" t="s">
        <v>468</v>
      </c>
      <c r="C329" s="163">
        <f>SUM(C321:C328)</f>
        <v>44010357</v>
      </c>
      <c r="D329" s="8"/>
      <c r="E329" s="8"/>
      <c r="F329" s="8"/>
    </row>
    <row r="330" spans="1:6" ht="12.75" x14ac:dyDescent="0.2">
      <c r="A330" s="8"/>
      <c r="B330" s="8"/>
      <c r="C330" s="8"/>
      <c r="D330" s="8"/>
      <c r="E330" s="8"/>
      <c r="F330" s="5"/>
    </row>
    <row r="331" spans="1:6" ht="12.75" x14ac:dyDescent="0.2">
      <c r="A331" s="8"/>
      <c r="B331" s="8"/>
      <c r="C331" s="8"/>
      <c r="D331" s="8"/>
      <c r="E331" s="8"/>
      <c r="F331" s="5"/>
    </row>
    <row r="332" spans="1:6" ht="12.75" x14ac:dyDescent="0.2">
      <c r="A332" s="8"/>
      <c r="B332" s="8"/>
      <c r="C332" s="8"/>
      <c r="D332" s="8"/>
      <c r="E332" s="8"/>
      <c r="F332" s="5"/>
    </row>
    <row r="333" spans="1:6" ht="12.75" x14ac:dyDescent="0.2">
      <c r="A333" s="183"/>
      <c r="B333" s="183"/>
      <c r="C333" s="183"/>
      <c r="D333" s="183"/>
      <c r="E333" s="183"/>
      <c r="F333" s="212"/>
    </row>
    <row r="334" spans="1:6" ht="12.75" x14ac:dyDescent="0.2">
      <c r="A334" s="183"/>
      <c r="B334" s="183"/>
      <c r="C334" s="183"/>
      <c r="D334" s="183"/>
      <c r="E334" s="245" t="str">
        <f>[11]NOMBRE!B12</f>
        <v>SRA . MARIA INES NUÑEZ GONZALEZ</v>
      </c>
      <c r="F334" s="245"/>
    </row>
    <row r="335" spans="1:6" ht="12.75" x14ac:dyDescent="0.2">
      <c r="A335" s="183"/>
      <c r="B335" s="183"/>
      <c r="C335" s="183"/>
      <c r="D335" s="185"/>
      <c r="E335" s="238" t="str">
        <f>[11]NOMBRE!A12</f>
        <v>Jefe de Estadisticas</v>
      </c>
      <c r="F335" s="238"/>
    </row>
    <row r="336" spans="1:6" ht="12.75" x14ac:dyDescent="0.2">
      <c r="A336" s="183"/>
      <c r="B336" s="183"/>
      <c r="C336" s="183"/>
      <c r="D336" s="183"/>
      <c r="E336" s="234"/>
      <c r="F336" s="235"/>
    </row>
    <row r="337" spans="1:6" ht="12.75" x14ac:dyDescent="0.2">
      <c r="A337" s="183"/>
      <c r="B337" s="183"/>
      <c r="C337" s="183"/>
      <c r="D337" s="183"/>
      <c r="E337" s="235"/>
      <c r="F337" s="235"/>
    </row>
    <row r="338" spans="1:6" ht="12.75" x14ac:dyDescent="0.2">
      <c r="A338" s="183"/>
      <c r="B338" s="183"/>
      <c r="C338" s="183"/>
      <c r="D338" s="183"/>
      <c r="E338" s="235"/>
      <c r="F338" s="235"/>
    </row>
    <row r="339" spans="1:6" ht="12.75" x14ac:dyDescent="0.2">
      <c r="A339" s="183"/>
      <c r="B339" s="183"/>
      <c r="C339" s="183"/>
      <c r="D339" s="183"/>
      <c r="E339" s="235"/>
      <c r="F339" s="235"/>
    </row>
    <row r="340" spans="1:6" ht="12.75" x14ac:dyDescent="0.2">
      <c r="A340" s="183"/>
      <c r="B340" s="183"/>
      <c r="C340" s="183"/>
      <c r="D340" s="183"/>
      <c r="E340" s="235"/>
      <c r="F340" s="235"/>
    </row>
    <row r="341" spans="1:6" ht="12.75" x14ac:dyDescent="0.2">
      <c r="A341" s="183"/>
      <c r="B341" s="183"/>
      <c r="C341" s="183"/>
      <c r="D341" s="183"/>
      <c r="E341" s="235"/>
      <c r="F341" s="235"/>
    </row>
    <row r="342" spans="1:6" ht="12.75" x14ac:dyDescent="0.2">
      <c r="A342" s="183"/>
      <c r="B342" s="183"/>
      <c r="C342" s="183"/>
      <c r="D342" s="183"/>
      <c r="E342" s="235"/>
      <c r="F342" s="235"/>
    </row>
    <row r="343" spans="1:6" ht="12.75" x14ac:dyDescent="0.2">
      <c r="A343" s="183"/>
      <c r="B343" s="183"/>
      <c r="C343" s="183"/>
      <c r="D343" s="183"/>
      <c r="E343" s="245" t="str">
        <f>[11]NOMBRE!B11</f>
        <v xml:space="preserve">DR. RUBEN BRAVO CASTILLO </v>
      </c>
      <c r="F343" s="245"/>
    </row>
    <row r="344" spans="1:6" ht="22.5" customHeight="1" x14ac:dyDescent="0.2">
      <c r="A344" s="183"/>
      <c r="B344" s="183"/>
      <c r="C344" s="183"/>
      <c r="D344" s="212"/>
      <c r="E344" s="238" t="str">
        <f>CONCATENATE("Director ",[11]NOMBRE!B1)</f>
        <v xml:space="preserve">Director </v>
      </c>
      <c r="F344" s="238"/>
    </row>
    <row r="345" spans="1:6" ht="12.75" x14ac:dyDescent="0.2">
      <c r="A345" s="183"/>
      <c r="B345" s="183"/>
      <c r="C345" s="183"/>
      <c r="D345" s="236"/>
      <c r="E345" s="183"/>
      <c r="F345" s="212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27:E227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0:E170"/>
    <mergeCell ref="A206:E206"/>
    <mergeCell ref="A220:C220"/>
    <mergeCell ref="B311:D311"/>
    <mergeCell ref="A234:E234"/>
    <mergeCell ref="A238:E238"/>
    <mergeCell ref="A254:E254"/>
    <mergeCell ref="A273:E273"/>
    <mergeCell ref="A283:E283"/>
    <mergeCell ref="A293:E293"/>
    <mergeCell ref="B302:C302"/>
    <mergeCell ref="A305:E305"/>
    <mergeCell ref="B306:D306"/>
    <mergeCell ref="A309:E309"/>
    <mergeCell ref="A310:D310"/>
    <mergeCell ref="E344:F344"/>
    <mergeCell ref="A314:C314"/>
    <mergeCell ref="A315:C315"/>
    <mergeCell ref="A316:B316"/>
    <mergeCell ref="E334:F334"/>
    <mergeCell ref="E335:F335"/>
    <mergeCell ref="E343:F34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workbookViewId="0">
      <selection activeCell="A11" sqref="A11:E11"/>
    </sheetView>
  </sheetViews>
  <sheetFormatPr baseColWidth="10" defaultRowHeight="10.5" x14ac:dyDescent="0.15"/>
  <cols>
    <col min="1" max="1" width="15" style="4" customWidth="1"/>
    <col min="2" max="2" width="74" style="4" customWidth="1"/>
    <col min="3" max="5" width="21.42578125" style="4" customWidth="1"/>
    <col min="6" max="6" width="19.5703125" style="237" customWidth="1"/>
    <col min="7" max="7" width="2.42578125" style="4" customWidth="1"/>
    <col min="8" max="9" width="5.140625" style="4" customWidth="1"/>
    <col min="10" max="256" width="11.42578125" style="4"/>
    <col min="257" max="257" width="15" style="4" customWidth="1"/>
    <col min="258" max="258" width="74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15" style="4" customWidth="1"/>
    <col min="514" max="514" width="74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15" style="4" customWidth="1"/>
    <col min="770" max="770" width="74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15" style="4" customWidth="1"/>
    <col min="1026" max="1026" width="74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15" style="4" customWidth="1"/>
    <col min="1282" max="1282" width="74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15" style="4" customWidth="1"/>
    <col min="1538" max="1538" width="74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15" style="4" customWidth="1"/>
    <col min="1794" max="1794" width="74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15" style="4" customWidth="1"/>
    <col min="2050" max="2050" width="74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15" style="4" customWidth="1"/>
    <col min="2306" max="2306" width="74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15" style="4" customWidth="1"/>
    <col min="2562" max="2562" width="74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15" style="4" customWidth="1"/>
    <col min="2818" max="2818" width="74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15" style="4" customWidth="1"/>
    <col min="3074" max="3074" width="74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15" style="4" customWidth="1"/>
    <col min="3330" max="3330" width="74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15" style="4" customWidth="1"/>
    <col min="3586" max="3586" width="74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15" style="4" customWidth="1"/>
    <col min="3842" max="3842" width="74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15" style="4" customWidth="1"/>
    <col min="4098" max="4098" width="74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15" style="4" customWidth="1"/>
    <col min="4354" max="4354" width="74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15" style="4" customWidth="1"/>
    <col min="4610" max="4610" width="74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15" style="4" customWidth="1"/>
    <col min="4866" max="4866" width="74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15" style="4" customWidth="1"/>
    <col min="5122" max="5122" width="74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15" style="4" customWidth="1"/>
    <col min="5378" max="5378" width="74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15" style="4" customWidth="1"/>
    <col min="5634" max="5634" width="74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15" style="4" customWidth="1"/>
    <col min="5890" max="5890" width="74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15" style="4" customWidth="1"/>
    <col min="6146" max="6146" width="74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15" style="4" customWidth="1"/>
    <col min="6402" max="6402" width="74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15" style="4" customWidth="1"/>
    <col min="6658" max="6658" width="74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15" style="4" customWidth="1"/>
    <col min="6914" max="6914" width="74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15" style="4" customWidth="1"/>
    <col min="7170" max="7170" width="74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15" style="4" customWidth="1"/>
    <col min="7426" max="7426" width="74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15" style="4" customWidth="1"/>
    <col min="7682" max="7682" width="74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15" style="4" customWidth="1"/>
    <col min="7938" max="7938" width="74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15" style="4" customWidth="1"/>
    <col min="8194" max="8194" width="74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15" style="4" customWidth="1"/>
    <col min="8450" max="8450" width="74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15" style="4" customWidth="1"/>
    <col min="8706" max="8706" width="74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15" style="4" customWidth="1"/>
    <col min="8962" max="8962" width="74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15" style="4" customWidth="1"/>
    <col min="9218" max="9218" width="74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15" style="4" customWidth="1"/>
    <col min="9474" max="9474" width="74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15" style="4" customWidth="1"/>
    <col min="9730" max="9730" width="74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15" style="4" customWidth="1"/>
    <col min="9986" max="9986" width="74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15" style="4" customWidth="1"/>
    <col min="10242" max="10242" width="74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15" style="4" customWidth="1"/>
    <col min="10498" max="10498" width="74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15" style="4" customWidth="1"/>
    <col min="10754" max="10754" width="74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15" style="4" customWidth="1"/>
    <col min="11010" max="11010" width="74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15" style="4" customWidth="1"/>
    <col min="11266" max="11266" width="74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15" style="4" customWidth="1"/>
    <col min="11522" max="11522" width="74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15" style="4" customWidth="1"/>
    <col min="11778" max="11778" width="74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15" style="4" customWidth="1"/>
    <col min="12034" max="12034" width="74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15" style="4" customWidth="1"/>
    <col min="12290" max="12290" width="74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15" style="4" customWidth="1"/>
    <col min="12546" max="12546" width="74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15" style="4" customWidth="1"/>
    <col min="12802" max="12802" width="74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15" style="4" customWidth="1"/>
    <col min="13058" max="13058" width="74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15" style="4" customWidth="1"/>
    <col min="13314" max="13314" width="74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15" style="4" customWidth="1"/>
    <col min="13570" max="13570" width="74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15" style="4" customWidth="1"/>
    <col min="13826" max="13826" width="74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15" style="4" customWidth="1"/>
    <col min="14082" max="14082" width="74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15" style="4" customWidth="1"/>
    <col min="14338" max="14338" width="74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15" style="4" customWidth="1"/>
    <col min="14594" max="14594" width="74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15" style="4" customWidth="1"/>
    <col min="14850" max="14850" width="74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15" style="4" customWidth="1"/>
    <col min="15106" max="15106" width="74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15" style="4" customWidth="1"/>
    <col min="15362" max="15362" width="74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15" style="4" customWidth="1"/>
    <col min="15618" max="15618" width="74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15" style="4" customWidth="1"/>
    <col min="15874" max="15874" width="74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15" style="4" customWidth="1"/>
    <col min="16130" max="16130" width="74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271" t="s">
        <v>1</v>
      </c>
      <c r="D1" s="272"/>
      <c r="E1" s="273"/>
      <c r="F1" s="3"/>
    </row>
    <row r="2" spans="1:7" ht="12.75" x14ac:dyDescent="0.2">
      <c r="A2" s="1" t="str">
        <f>CONCATENATE("COMUNA: ",[12]NOMBRE!B2," - ","( ",[12]NOMBRE!C2,[12]NOMBRE!D2,[12]NOMBRE!E2,[12]NOMBRE!F2,[12]NOMBRE!G2," )")</f>
        <v>COMUNA: LINARES  - ( 07108 )</v>
      </c>
      <c r="B2" s="2"/>
      <c r="C2" s="268"/>
      <c r="D2" s="269"/>
      <c r="E2" s="270"/>
      <c r="F2" s="5"/>
      <c r="G2" s="6"/>
    </row>
    <row r="3" spans="1:7" ht="12.75" x14ac:dyDescent="0.2">
      <c r="A3" s="1" t="str">
        <f>CONCATENATE("ESTABLECIMIENTO: ",[12]NOMBRE!B3," - ","( ",[12]NOMBRE!C3,[12]NOMBRE!D3,[12]NOMBRE!E3,[12]NOMBRE!F3,[12]NOMBRE!G3," )")</f>
        <v>ESTABLECIMIENTO: HOSPITAL DE LINARES  - ( 16108 )</v>
      </c>
      <c r="B3" s="2"/>
      <c r="C3" s="271" t="s">
        <v>2</v>
      </c>
      <c r="D3" s="272"/>
      <c r="E3" s="273"/>
      <c r="F3" s="5"/>
      <c r="G3" s="7"/>
    </row>
    <row r="4" spans="1:7" ht="12.75" x14ac:dyDescent="0.2">
      <c r="A4" s="1" t="str">
        <f>CONCATENATE("MES: ",[12]NOMBRE!B6," - ","( ",[12]NOMBRE!C6,[12]NOMBRE!D6," )")</f>
        <v>MES: DICIEMBRE - ( 12 )</v>
      </c>
      <c r="B4" s="2"/>
      <c r="C4" s="268" t="str">
        <f>CONCATENATE([12]NOMBRE!B6," ","( ",[12]NOMBRE!C6,[12]NOMBRE!D6," )")</f>
        <v>DICIEMBRE ( 12 )</v>
      </c>
      <c r="D4" s="269"/>
      <c r="E4" s="270"/>
      <c r="F4" s="5"/>
      <c r="G4" s="7"/>
    </row>
    <row r="5" spans="1:7" ht="12.75" x14ac:dyDescent="0.2">
      <c r="A5" s="1" t="str">
        <f>CONCATENATE("AÑO: ",[12]NOMBRE!B7)</f>
        <v>AÑO: 2011</v>
      </c>
      <c r="B5" s="2"/>
      <c r="C5" s="271" t="s">
        <v>3</v>
      </c>
      <c r="D5" s="272"/>
      <c r="E5" s="273"/>
      <c r="F5" s="5"/>
      <c r="G5" s="7"/>
    </row>
    <row r="6" spans="1:7" ht="12.75" x14ac:dyDescent="0.2">
      <c r="A6" s="8"/>
      <c r="B6" s="8"/>
      <c r="C6" s="268">
        <f>[12]NOMBRE!B7</f>
        <v>2011</v>
      </c>
      <c r="D6" s="269"/>
      <c r="E6" s="270"/>
      <c r="F6" s="5"/>
      <c r="G6" s="7"/>
    </row>
    <row r="7" spans="1:7" ht="12.75" x14ac:dyDescent="0.2">
      <c r="A7" s="263" t="s">
        <v>4</v>
      </c>
      <c r="B7" s="264"/>
      <c r="C7" s="265" t="s">
        <v>5</v>
      </c>
      <c r="D7" s="266"/>
      <c r="E7" s="267"/>
      <c r="F7" s="5"/>
      <c r="G7" s="7"/>
    </row>
    <row r="8" spans="1:7" ht="12.75" x14ac:dyDescent="0.2">
      <c r="A8" s="8"/>
      <c r="B8" s="9" t="s">
        <v>6</v>
      </c>
      <c r="C8" s="268" t="str">
        <f>CONCATENATE([12]NOMBRE!B3," ","( ",[12]NOMBRE!C3,[12]NOMBRE!D3,[12]NOMBRE!E3,[12]NOMBRE!F3,[12]NOMBRE!G3," )")</f>
        <v>HOSPITAL DE LINARES  ( 16108 )</v>
      </c>
      <c r="D8" s="269"/>
      <c r="E8" s="270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256" t="s">
        <v>7</v>
      </c>
      <c r="B11" s="252"/>
      <c r="C11" s="252"/>
      <c r="D11" s="252"/>
      <c r="E11" s="253"/>
      <c r="F11" s="5"/>
    </row>
    <row r="12" spans="1:7" ht="43.5" customHeight="1" x14ac:dyDescent="0.2">
      <c r="A12" s="11" t="s">
        <v>8</v>
      </c>
      <c r="B12" s="11" t="s">
        <v>9</v>
      </c>
      <c r="C12" s="12" t="s">
        <v>10</v>
      </c>
      <c r="D12" s="13" t="s">
        <v>11</v>
      </c>
      <c r="E12" s="14" t="s">
        <v>12</v>
      </c>
      <c r="F12" s="8"/>
    </row>
    <row r="13" spans="1:7" ht="12.75" customHeight="1" x14ac:dyDescent="0.2">
      <c r="A13" s="242" t="s">
        <v>13</v>
      </c>
      <c r="B13" s="243"/>
      <c r="C13" s="243"/>
      <c r="D13" s="243"/>
      <c r="E13" s="244"/>
      <c r="F13" s="8"/>
    </row>
    <row r="14" spans="1:7" ht="15" customHeight="1" x14ac:dyDescent="0.2">
      <c r="A14" s="17" t="s">
        <v>14</v>
      </c>
      <c r="B14" s="18" t="s">
        <v>15</v>
      </c>
      <c r="C14" s="19">
        <f>[12]BS17A!$D13</f>
        <v>0</v>
      </c>
      <c r="D14" s="20">
        <f>[12]BS17A!$U13</f>
        <v>3830</v>
      </c>
      <c r="E14" s="21">
        <f>[12]BS17A!$V13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24">
        <f>[12]BS17A!$D14</f>
        <v>0</v>
      </c>
      <c r="D15" s="25">
        <f>[12]BS17A!$U14</f>
        <v>4820</v>
      </c>
      <c r="E15" s="26">
        <f>[12]BS17A!$V14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24">
        <f>[12]BS17A!$D15</f>
        <v>8586</v>
      </c>
      <c r="D16" s="25">
        <f>[12]BS17A!$U15</f>
        <v>10320</v>
      </c>
      <c r="E16" s="26">
        <f>[12]BS17A!$V15</f>
        <v>88607520</v>
      </c>
      <c r="F16" s="8"/>
    </row>
    <row r="17" spans="1:6" ht="15" customHeight="1" x14ac:dyDescent="0.2">
      <c r="A17" s="22" t="s">
        <v>20</v>
      </c>
      <c r="B17" s="23" t="s">
        <v>21</v>
      </c>
      <c r="C17" s="24">
        <f>[12]BS17A!$D16</f>
        <v>0</v>
      </c>
      <c r="D17" s="25">
        <f>[12]BS17A!$U16</f>
        <v>6170</v>
      </c>
      <c r="E17" s="26">
        <f>[12]BS17A!$V16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24">
        <f>[12]BS17A!$D17</f>
        <v>0</v>
      </c>
      <c r="D18" s="25">
        <f>[12]BS17A!$U17</f>
        <v>6770</v>
      </c>
      <c r="E18" s="26">
        <f>[12]BS17A!$V17</f>
        <v>0</v>
      </c>
      <c r="F18" s="8"/>
    </row>
    <row r="19" spans="1:6" ht="33" customHeight="1" x14ac:dyDescent="0.2">
      <c r="A19" s="22" t="s">
        <v>24</v>
      </c>
      <c r="B19" s="27" t="s">
        <v>25</v>
      </c>
      <c r="C19" s="24">
        <f>[12]BS17A!$D20</f>
        <v>0</v>
      </c>
      <c r="D19" s="25">
        <f>[12]BS17A!$U20</f>
        <v>5210</v>
      </c>
      <c r="E19" s="26">
        <f>[12]BS17A!$V20</f>
        <v>0</v>
      </c>
      <c r="F19" s="8"/>
    </row>
    <row r="20" spans="1:6" ht="42.75" customHeight="1" x14ac:dyDescent="0.2">
      <c r="A20" s="22" t="s">
        <v>26</v>
      </c>
      <c r="B20" s="27" t="s">
        <v>27</v>
      </c>
      <c r="C20" s="24">
        <f>[12]BS17A!$D21</f>
        <v>0</v>
      </c>
      <c r="D20" s="25">
        <f>[12]BS17A!$U21</f>
        <v>6250</v>
      </c>
      <c r="E20" s="26">
        <f>[12]BS17A!$V21</f>
        <v>0</v>
      </c>
      <c r="F20" s="8"/>
    </row>
    <row r="21" spans="1:6" ht="42.75" customHeight="1" x14ac:dyDescent="0.2">
      <c r="A21" s="22" t="s">
        <v>28</v>
      </c>
      <c r="B21" s="27" t="s">
        <v>29</v>
      </c>
      <c r="C21" s="24">
        <f>[12]BS17A!$D22</f>
        <v>0</v>
      </c>
      <c r="D21" s="25">
        <f>[12]BS17A!$U22</f>
        <v>7760</v>
      </c>
      <c r="E21" s="26">
        <f>[12]BS17A!$V22</f>
        <v>0</v>
      </c>
      <c r="F21" s="8"/>
    </row>
    <row r="22" spans="1:6" ht="32.25" customHeight="1" x14ac:dyDescent="0.2">
      <c r="A22" s="22" t="s">
        <v>30</v>
      </c>
      <c r="B22" s="27" t="s">
        <v>31</v>
      </c>
      <c r="C22" s="24">
        <f>[12]BS17A!$D23</f>
        <v>1355</v>
      </c>
      <c r="D22" s="25">
        <f>[12]BS17A!$U23</f>
        <v>5210</v>
      </c>
      <c r="E22" s="26">
        <f>[12]BS17A!$V23</f>
        <v>7059550</v>
      </c>
      <c r="F22" s="8"/>
    </row>
    <row r="23" spans="1:6" ht="40.5" customHeight="1" x14ac:dyDescent="0.2">
      <c r="A23" s="22" t="s">
        <v>32</v>
      </c>
      <c r="B23" s="27" t="s">
        <v>33</v>
      </c>
      <c r="C23" s="24">
        <f>[12]BS17A!$D24</f>
        <v>620</v>
      </c>
      <c r="D23" s="25">
        <f>[12]BS17A!$U24</f>
        <v>6250</v>
      </c>
      <c r="E23" s="26">
        <f>[12]BS17A!$V24</f>
        <v>3875000</v>
      </c>
      <c r="F23" s="8"/>
    </row>
    <row r="24" spans="1:6" ht="27" customHeight="1" x14ac:dyDescent="0.2">
      <c r="A24" s="22" t="s">
        <v>34</v>
      </c>
      <c r="B24" s="27" t="s">
        <v>35</v>
      </c>
      <c r="C24" s="24">
        <f>[12]BS17A!$D25</f>
        <v>1632</v>
      </c>
      <c r="D24" s="25">
        <f>[12]BS17A!$U25</f>
        <v>7760</v>
      </c>
      <c r="E24" s="26">
        <f>[12]BS17A!$V25</f>
        <v>12664320</v>
      </c>
      <c r="F24" s="8"/>
    </row>
    <row r="25" spans="1:6" ht="15" customHeight="1" x14ac:dyDescent="0.2">
      <c r="A25" s="22" t="s">
        <v>36</v>
      </c>
      <c r="B25" s="28" t="s">
        <v>37</v>
      </c>
      <c r="C25" s="24">
        <f>+[12]BS17A!$D791</f>
        <v>177</v>
      </c>
      <c r="D25" s="25">
        <f>+[12]BS17A!$U791</f>
        <v>6330</v>
      </c>
      <c r="E25" s="26">
        <f>+[12]BS17A!$V791</f>
        <v>1120410</v>
      </c>
      <c r="F25" s="8"/>
    </row>
    <row r="26" spans="1:6" ht="15" customHeight="1" x14ac:dyDescent="0.2">
      <c r="A26" s="29" t="s">
        <v>38</v>
      </c>
      <c r="B26" s="30" t="s">
        <v>39</v>
      </c>
      <c r="C26" s="31">
        <f>+[12]BS17A!$D796</f>
        <v>0</v>
      </c>
      <c r="D26" s="32">
        <f>+[12]BS17A!$U796</f>
        <v>26240</v>
      </c>
      <c r="E26" s="33">
        <f>+[12]BS17A!$V796</f>
        <v>0</v>
      </c>
      <c r="F26" s="8"/>
    </row>
    <row r="27" spans="1:6" ht="18" customHeight="1" x14ac:dyDescent="0.2">
      <c r="A27" s="242" t="s">
        <v>40</v>
      </c>
      <c r="B27" s="243"/>
      <c r="C27" s="243"/>
      <c r="D27" s="243"/>
      <c r="E27" s="244"/>
      <c r="F27" s="8"/>
    </row>
    <row r="28" spans="1:6" ht="15" customHeight="1" x14ac:dyDescent="0.2">
      <c r="A28" s="17" t="s">
        <v>41</v>
      </c>
      <c r="B28" s="18" t="s">
        <v>42</v>
      </c>
      <c r="C28" s="19">
        <f>[12]BS17A!$D27</f>
        <v>1623</v>
      </c>
      <c r="D28" s="20">
        <f>[12]BS17A!$U27</f>
        <v>1020</v>
      </c>
      <c r="E28" s="21">
        <f>[12]BS17A!$V27</f>
        <v>1655460</v>
      </c>
      <c r="F28" s="8"/>
    </row>
    <row r="29" spans="1:6" ht="15" customHeight="1" x14ac:dyDescent="0.2">
      <c r="A29" s="22" t="s">
        <v>43</v>
      </c>
      <c r="B29" s="34" t="s">
        <v>44</v>
      </c>
      <c r="C29" s="24">
        <f>[12]BS17A!$D28</f>
        <v>0</v>
      </c>
      <c r="D29" s="25">
        <f>[12]BS17A!$U28</f>
        <v>1740</v>
      </c>
      <c r="E29" s="26">
        <f>[12]BS17A!$V28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24">
        <f>[12]BS17A!$D29</f>
        <v>0</v>
      </c>
      <c r="D30" s="25">
        <f>[12]BS17A!$U29</f>
        <v>550</v>
      </c>
      <c r="E30" s="26">
        <f>[12]BS17A!$V29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24">
        <f>[12]BS17A!$D30</f>
        <v>25</v>
      </c>
      <c r="D31" s="25">
        <f>[12]BS17A!$U30</f>
        <v>1380</v>
      </c>
      <c r="E31" s="26">
        <f>[12]BS17A!$V30</f>
        <v>34500</v>
      </c>
      <c r="F31" s="8"/>
    </row>
    <row r="32" spans="1:6" ht="15" customHeight="1" x14ac:dyDescent="0.2">
      <c r="A32" s="22" t="s">
        <v>49</v>
      </c>
      <c r="B32" s="23" t="s">
        <v>50</v>
      </c>
      <c r="C32" s="24">
        <f>[12]BS17A!$D31</f>
        <v>496</v>
      </c>
      <c r="D32" s="25">
        <f>[12]BS17A!$U31</f>
        <v>1110</v>
      </c>
      <c r="E32" s="26">
        <f>[12]BS17A!$V31</f>
        <v>550560</v>
      </c>
      <c r="F32" s="8"/>
    </row>
    <row r="33" spans="1:6" ht="15" customHeight="1" x14ac:dyDescent="0.2">
      <c r="A33" s="22" t="s">
        <v>51</v>
      </c>
      <c r="B33" s="34" t="s">
        <v>52</v>
      </c>
      <c r="C33" s="24">
        <f>[12]BS17A!$D32</f>
        <v>0</v>
      </c>
      <c r="D33" s="25">
        <f>[12]BS17A!$U32</f>
        <v>1020</v>
      </c>
      <c r="E33" s="26">
        <f>[12]BS17A!$V32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24">
        <f>+[12]BS17A!$D792</f>
        <v>0</v>
      </c>
      <c r="D34" s="25">
        <f>+[12]BS17A!$U792</f>
        <v>2480</v>
      </c>
      <c r="E34" s="26">
        <f>+[12]BS17A!$V792</f>
        <v>0</v>
      </c>
      <c r="F34" s="8"/>
    </row>
    <row r="35" spans="1:6" ht="15" customHeight="1" x14ac:dyDescent="0.2">
      <c r="A35" s="22" t="s">
        <v>55</v>
      </c>
      <c r="B35" s="34" t="s">
        <v>56</v>
      </c>
      <c r="C35" s="24">
        <f>+[12]BS17A!$D793</f>
        <v>489</v>
      </c>
      <c r="D35" s="25">
        <f>+[12]BS17A!$U793</f>
        <v>2480</v>
      </c>
      <c r="E35" s="26">
        <f>+[12]BS17A!$V793</f>
        <v>1212720</v>
      </c>
      <c r="F35" s="8"/>
    </row>
    <row r="36" spans="1:6" ht="15" customHeight="1" x14ac:dyDescent="0.2">
      <c r="A36" s="22" t="s">
        <v>57</v>
      </c>
      <c r="B36" s="34" t="s">
        <v>58</v>
      </c>
      <c r="C36" s="24">
        <f>+[12]BS17A!$D794</f>
        <v>0</v>
      </c>
      <c r="D36" s="25">
        <f>+[12]BS17A!$U794</f>
        <v>9880</v>
      </c>
      <c r="E36" s="26">
        <f>+[12]BS17A!$V794</f>
        <v>0</v>
      </c>
      <c r="F36" s="8"/>
    </row>
    <row r="37" spans="1:6" ht="15" customHeight="1" x14ac:dyDescent="0.2">
      <c r="A37" s="29" t="s">
        <v>59</v>
      </c>
      <c r="B37" s="35" t="s">
        <v>60</v>
      </c>
      <c r="C37" s="31">
        <f>+[12]BS17A!$D795</f>
        <v>14</v>
      </c>
      <c r="D37" s="32">
        <f>+[12]BS17A!$U795</f>
        <v>11570</v>
      </c>
      <c r="E37" s="33">
        <f>+[12]BS17A!$V795</f>
        <v>161980</v>
      </c>
      <c r="F37" s="8"/>
    </row>
    <row r="38" spans="1:6" ht="18" customHeight="1" x14ac:dyDescent="0.2">
      <c r="A38" s="251" t="s">
        <v>61</v>
      </c>
      <c r="B38" s="254"/>
      <c r="C38" s="254"/>
      <c r="D38" s="254"/>
      <c r="E38" s="255"/>
      <c r="F38" s="8"/>
    </row>
    <row r="39" spans="1:6" ht="15" customHeight="1" x14ac:dyDescent="0.2">
      <c r="A39" s="17" t="s">
        <v>62</v>
      </c>
      <c r="B39" s="36" t="s">
        <v>63</v>
      </c>
      <c r="C39" s="19">
        <f>+[12]BS17A!$D797</f>
        <v>0</v>
      </c>
      <c r="D39" s="37">
        <f>+[12]BS17A!$U797</f>
        <v>2882</v>
      </c>
      <c r="E39" s="38">
        <f>+[12]BS17A!$V797</f>
        <v>0</v>
      </c>
      <c r="F39" s="8"/>
    </row>
    <row r="40" spans="1:6" ht="15" customHeight="1" x14ac:dyDescent="0.2">
      <c r="A40" s="29" t="s">
        <v>64</v>
      </c>
      <c r="B40" s="39" t="s">
        <v>65</v>
      </c>
      <c r="C40" s="31">
        <f>+[12]BS17A!$D798</f>
        <v>0</v>
      </c>
      <c r="D40" s="40">
        <f>+[12]BS17A!$U798</f>
        <v>6766</v>
      </c>
      <c r="E40" s="41">
        <f>+[12]BS17A!$V798</f>
        <v>0</v>
      </c>
      <c r="F40" s="8"/>
    </row>
    <row r="41" spans="1:6" ht="18" customHeight="1" x14ac:dyDescent="0.2">
      <c r="A41" s="251" t="s">
        <v>66</v>
      </c>
      <c r="B41" s="254"/>
      <c r="C41" s="254"/>
      <c r="D41" s="254"/>
      <c r="E41" s="255"/>
      <c r="F41" s="8"/>
    </row>
    <row r="42" spans="1:6" ht="15" customHeight="1" x14ac:dyDescent="0.2">
      <c r="A42" s="17" t="s">
        <v>67</v>
      </c>
      <c r="B42" s="42" t="s">
        <v>68</v>
      </c>
      <c r="C42" s="19">
        <f>+[12]BS17A!$D34</f>
        <v>0</v>
      </c>
      <c r="D42" s="37">
        <f>+[12]BS17A!$U34</f>
        <v>3340</v>
      </c>
      <c r="E42" s="38">
        <f>+[12]BS17A!$V34</f>
        <v>0</v>
      </c>
      <c r="F42" s="8"/>
    </row>
    <row r="43" spans="1:6" ht="15" customHeight="1" x14ac:dyDescent="0.2">
      <c r="A43" s="22" t="s">
        <v>69</v>
      </c>
      <c r="B43" s="23" t="s">
        <v>70</v>
      </c>
      <c r="C43" s="24">
        <f>+[12]BS17A!$D35</f>
        <v>606</v>
      </c>
      <c r="D43" s="25">
        <f>+[12]BS17A!$U35</f>
        <v>1840</v>
      </c>
      <c r="E43" s="26">
        <f>+[12]BS17A!$V35</f>
        <v>1115040</v>
      </c>
      <c r="F43" s="8"/>
    </row>
    <row r="44" spans="1:6" ht="15" customHeight="1" x14ac:dyDescent="0.2">
      <c r="A44" s="22" t="s">
        <v>71</v>
      </c>
      <c r="B44" s="23" t="s">
        <v>72</v>
      </c>
      <c r="C44" s="24">
        <f>+[12]BS17A!$D36</f>
        <v>0</v>
      </c>
      <c r="D44" s="25">
        <f>+[12]BS17A!$U36</f>
        <v>1840</v>
      </c>
      <c r="E44" s="26">
        <f>+[12]BS17A!$V36</f>
        <v>0</v>
      </c>
      <c r="F44" s="8"/>
    </row>
    <row r="45" spans="1:6" ht="15" customHeight="1" x14ac:dyDescent="0.2">
      <c r="A45" s="29" t="s">
        <v>73</v>
      </c>
      <c r="B45" s="43" t="s">
        <v>74</v>
      </c>
      <c r="C45" s="31">
        <f>+[12]BS17A!$D37</f>
        <v>353</v>
      </c>
      <c r="D45" s="40">
        <f>+[12]BS17A!$U37</f>
        <v>550</v>
      </c>
      <c r="E45" s="41">
        <f>+[12]BS17A!$V37</f>
        <v>194150</v>
      </c>
      <c r="F45" s="8"/>
    </row>
    <row r="46" spans="1:6" ht="18" customHeight="1" x14ac:dyDescent="0.2">
      <c r="A46" s="251" t="s">
        <v>75</v>
      </c>
      <c r="B46" s="254"/>
      <c r="C46" s="254"/>
      <c r="D46" s="254"/>
      <c r="E46" s="255"/>
      <c r="F46" s="8"/>
    </row>
    <row r="47" spans="1:6" ht="15" customHeight="1" x14ac:dyDescent="0.2">
      <c r="A47" s="17" t="s">
        <v>76</v>
      </c>
      <c r="B47" s="42" t="s">
        <v>77</v>
      </c>
      <c r="C47" s="19">
        <f>+[12]BS17A!$D39</f>
        <v>19</v>
      </c>
      <c r="D47" s="37">
        <f>+[12]BS17A!$U39</f>
        <v>1590</v>
      </c>
      <c r="E47" s="38">
        <f>+[12]BS17A!$V39</f>
        <v>30210</v>
      </c>
      <c r="F47" s="8"/>
    </row>
    <row r="48" spans="1:6" ht="15" customHeight="1" x14ac:dyDescent="0.2">
      <c r="A48" s="22" t="s">
        <v>78</v>
      </c>
      <c r="B48" s="23" t="s">
        <v>79</v>
      </c>
      <c r="C48" s="24">
        <f>+[12]BS17A!$D40</f>
        <v>0</v>
      </c>
      <c r="D48" s="25">
        <f>+[12]BS17A!$U40</f>
        <v>1590</v>
      </c>
      <c r="E48" s="26">
        <f>+[12]BS17A!$V40</f>
        <v>0</v>
      </c>
      <c r="F48" s="8"/>
    </row>
    <row r="49" spans="1:7" ht="15" customHeight="1" x14ac:dyDescent="0.2">
      <c r="A49" s="29" t="s">
        <v>80</v>
      </c>
      <c r="B49" s="43" t="s">
        <v>81</v>
      </c>
      <c r="C49" s="31">
        <f>+[12]BS17A!$D41</f>
        <v>0</v>
      </c>
      <c r="D49" s="40">
        <f>+[12]BS17A!$U41</f>
        <v>910</v>
      </c>
      <c r="E49" s="41">
        <f>+[12]BS17A!$V41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15995</v>
      </c>
      <c r="D50" s="46"/>
      <c r="E50" s="47">
        <f>SUM(E14:E49)</f>
        <v>118281420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251" t="s">
        <v>83</v>
      </c>
      <c r="B53" s="254"/>
      <c r="C53" s="254"/>
      <c r="D53" s="254"/>
      <c r="E53" s="255"/>
      <c r="F53" s="51"/>
      <c r="G53" s="52"/>
    </row>
    <row r="54" spans="1:7" ht="38.25" x14ac:dyDescent="0.2">
      <c r="A54" s="11" t="s">
        <v>8</v>
      </c>
      <c r="B54" s="11" t="s">
        <v>84</v>
      </c>
      <c r="C54" s="12" t="s">
        <v>10</v>
      </c>
      <c r="D54" s="53"/>
      <c r="E54" s="14" t="s">
        <v>12</v>
      </c>
      <c r="F54" s="8"/>
    </row>
    <row r="55" spans="1:7" ht="18" customHeight="1" x14ac:dyDescent="0.2">
      <c r="A55" s="54" t="s">
        <v>85</v>
      </c>
      <c r="B55" s="55" t="s">
        <v>86</v>
      </c>
      <c r="C55" s="56">
        <f>+[12]BS17!$D12</f>
        <v>45212</v>
      </c>
      <c r="D55" s="57"/>
      <c r="E55" s="58">
        <f>+E56+E57+E58+E59+E60+E61+E65+E66+E67</f>
        <v>56154000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+[12]BS17!$D13</f>
        <v>17830</v>
      </c>
      <c r="D56" s="61"/>
      <c r="E56" s="62">
        <f>+[12]BS17A!V83</f>
        <v>17373920</v>
      </c>
      <c r="F56" s="8"/>
    </row>
    <row r="57" spans="1:7" ht="15" customHeight="1" x14ac:dyDescent="0.2">
      <c r="A57" s="22" t="s">
        <v>89</v>
      </c>
      <c r="B57" s="28" t="s">
        <v>90</v>
      </c>
      <c r="C57" s="24">
        <f>+[12]BS17!$D14</f>
        <v>19587</v>
      </c>
      <c r="D57" s="63"/>
      <c r="E57" s="64">
        <f>+[12]BS17A!V174</f>
        <v>20851320</v>
      </c>
      <c r="F57" s="8"/>
    </row>
    <row r="58" spans="1:7" ht="15" customHeight="1" x14ac:dyDescent="0.2">
      <c r="A58" s="22" t="s">
        <v>91</v>
      </c>
      <c r="B58" s="28" t="s">
        <v>92</v>
      </c>
      <c r="C58" s="24">
        <f>+[12]BS17!$D15</f>
        <v>981</v>
      </c>
      <c r="D58" s="63"/>
      <c r="E58" s="64">
        <f>+[12]BS17A!V243</f>
        <v>3122190</v>
      </c>
      <c r="F58" s="8"/>
    </row>
    <row r="59" spans="1:7" ht="15" customHeight="1" x14ac:dyDescent="0.2">
      <c r="A59" s="22" t="s">
        <v>93</v>
      </c>
      <c r="B59" s="28" t="s">
        <v>94</v>
      </c>
      <c r="C59" s="24">
        <f>+[12]BS17!$D16</f>
        <v>0</v>
      </c>
      <c r="D59" s="63"/>
      <c r="E59" s="64">
        <f>+[12]BS17A!V289</f>
        <v>0</v>
      </c>
      <c r="F59" s="8"/>
    </row>
    <row r="60" spans="1:7" ht="15" customHeight="1" x14ac:dyDescent="0.2">
      <c r="A60" s="65" t="s">
        <v>95</v>
      </c>
      <c r="B60" s="30" t="s">
        <v>96</v>
      </c>
      <c r="C60" s="66">
        <f>+[12]BS17!$D17</f>
        <v>1016</v>
      </c>
      <c r="D60" s="67"/>
      <c r="E60" s="68">
        <f>+[12]BS17A!V295</f>
        <v>4261250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+[12]BS17!$D18</f>
        <v>3549</v>
      </c>
      <c r="D61" s="71"/>
      <c r="E61" s="72">
        <f>SUM(E62:E64)</f>
        <v>8151870</v>
      </c>
      <c r="F61" s="8"/>
    </row>
    <row r="62" spans="1:7" ht="15" customHeight="1" x14ac:dyDescent="0.2">
      <c r="A62" s="73"/>
      <c r="B62" s="42" t="s">
        <v>99</v>
      </c>
      <c r="C62" s="19">
        <f>+[12]BS17!$D19</f>
        <v>3028</v>
      </c>
      <c r="D62" s="74"/>
      <c r="E62" s="75">
        <f>+[12]BS17A!V362</f>
        <v>6286460</v>
      </c>
      <c r="F62" s="8"/>
    </row>
    <row r="63" spans="1:7" ht="15" customHeight="1" x14ac:dyDescent="0.2">
      <c r="A63" s="73"/>
      <c r="B63" s="28" t="s">
        <v>100</v>
      </c>
      <c r="C63" s="24">
        <f>+[12]BS17!$D20</f>
        <v>78</v>
      </c>
      <c r="D63" s="63"/>
      <c r="E63" s="64">
        <f>+[12]BS17A!V405</f>
        <v>191520</v>
      </c>
      <c r="F63" s="8"/>
    </row>
    <row r="64" spans="1:7" ht="15" customHeight="1" x14ac:dyDescent="0.2">
      <c r="A64" s="76"/>
      <c r="B64" s="43" t="s">
        <v>101</v>
      </c>
      <c r="C64" s="31">
        <f>+[12]BS17!$D21</f>
        <v>443</v>
      </c>
      <c r="D64" s="77"/>
      <c r="E64" s="78">
        <f>+[12]BS17A!V428</f>
        <v>1673890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+[12]BS17!$D22</f>
        <v>0</v>
      </c>
      <c r="D65" s="61"/>
      <c r="E65" s="62">
        <f>+[12]BS17A!V446</f>
        <v>0</v>
      </c>
      <c r="F65" s="8"/>
    </row>
    <row r="66" spans="1:7" ht="15" customHeight="1" x14ac:dyDescent="0.2">
      <c r="A66" s="22" t="s">
        <v>104</v>
      </c>
      <c r="B66" s="28" t="s">
        <v>105</v>
      </c>
      <c r="C66" s="24">
        <f>+[12]BS17!$D23</f>
        <v>58</v>
      </c>
      <c r="D66" s="63"/>
      <c r="E66" s="64">
        <f>+[12]BS17A!V456</f>
        <v>98590</v>
      </c>
      <c r="F66" s="8"/>
    </row>
    <row r="67" spans="1:7" ht="15" customHeight="1" x14ac:dyDescent="0.2">
      <c r="A67" s="65" t="s">
        <v>106</v>
      </c>
      <c r="B67" s="30" t="s">
        <v>107</v>
      </c>
      <c r="C67" s="66">
        <f>+[12]BS17!$D24</f>
        <v>2191</v>
      </c>
      <c r="D67" s="67"/>
      <c r="E67" s="68">
        <f>+[12]BS17A!V500</f>
        <v>2294860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+[12]BS17!$D25</f>
        <v>3896</v>
      </c>
      <c r="D68" s="83"/>
      <c r="E68" s="84">
        <f>SUM(E69:E74)</f>
        <v>51803690</v>
      </c>
      <c r="F68" s="8"/>
    </row>
    <row r="69" spans="1:7" ht="15" customHeight="1" x14ac:dyDescent="0.2">
      <c r="A69" s="22" t="s">
        <v>110</v>
      </c>
      <c r="B69" s="28" t="s">
        <v>111</v>
      </c>
      <c r="C69" s="24">
        <f>+[12]BS17!$D26</f>
        <v>2415</v>
      </c>
      <c r="D69" s="63"/>
      <c r="E69" s="64">
        <f>+[12]BS17A!V535</f>
        <v>17803730</v>
      </c>
      <c r="F69" s="8"/>
    </row>
    <row r="70" spans="1:7" ht="15" customHeight="1" x14ac:dyDescent="0.2">
      <c r="A70" s="22" t="s">
        <v>112</v>
      </c>
      <c r="B70" s="28" t="s">
        <v>113</v>
      </c>
      <c r="C70" s="24">
        <f>+[12]BS17!$D27</f>
        <v>2</v>
      </c>
      <c r="D70" s="63"/>
      <c r="E70" s="64">
        <f>+[12]BS17A!V590</f>
        <v>42740</v>
      </c>
      <c r="F70" s="8"/>
    </row>
    <row r="71" spans="1:7" ht="15" customHeight="1" x14ac:dyDescent="0.2">
      <c r="A71" s="22" t="s">
        <v>114</v>
      </c>
      <c r="B71" s="28" t="s">
        <v>115</v>
      </c>
      <c r="C71" s="24">
        <f>+[12]BS17!$D28</f>
        <v>414</v>
      </c>
      <c r="D71" s="63"/>
      <c r="E71" s="64">
        <f>+[12]BS17A!V615</f>
        <v>19317150</v>
      </c>
      <c r="F71" s="8"/>
    </row>
    <row r="72" spans="1:7" ht="15" customHeight="1" x14ac:dyDescent="0.2">
      <c r="A72" s="22" t="s">
        <v>116</v>
      </c>
      <c r="B72" s="28" t="s">
        <v>117</v>
      </c>
      <c r="C72" s="24">
        <f>+[12]BS17!$D30+[12]BS17!$D32</f>
        <v>1065</v>
      </c>
      <c r="D72" s="63"/>
      <c r="E72" s="64">
        <f>+[12]BS17A!V633-[12]BS17A!V634</f>
        <v>14640070</v>
      </c>
      <c r="F72" s="8"/>
    </row>
    <row r="73" spans="1:7" ht="15" customHeight="1" x14ac:dyDescent="0.2">
      <c r="A73" s="85"/>
      <c r="B73" s="28" t="s">
        <v>118</v>
      </c>
      <c r="C73" s="24">
        <f>+[12]BS17!$D31</f>
        <v>0</v>
      </c>
      <c r="D73" s="63"/>
      <c r="E73" s="64">
        <f>+[12]BS17A!V634</f>
        <v>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+[12]BS17!$D33</f>
        <v>0</v>
      </c>
      <c r="D74" s="89"/>
      <c r="E74" s="90">
        <f>+[12]BS17A!V654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+[12]BS17!$D34</f>
        <v>0</v>
      </c>
      <c r="D75" s="94"/>
      <c r="E75" s="95">
        <f>+[12]BS17A!V779</f>
        <v>0</v>
      </c>
      <c r="F75" s="8"/>
    </row>
    <row r="76" spans="1:7" ht="15" customHeight="1" x14ac:dyDescent="0.2">
      <c r="A76" s="96"/>
      <c r="B76" s="97" t="s">
        <v>123</v>
      </c>
      <c r="C76" s="56">
        <f>+C55+C68+C75</f>
        <v>49108</v>
      </c>
      <c r="D76" s="57"/>
      <c r="E76" s="98">
        <f>+E55+E68+E75</f>
        <v>107957690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256" t="s">
        <v>124</v>
      </c>
      <c r="B79" s="252"/>
      <c r="C79" s="252"/>
      <c r="D79" s="252"/>
      <c r="E79" s="253"/>
      <c r="F79" s="51"/>
      <c r="G79" s="52"/>
    </row>
    <row r="80" spans="1:7" ht="38.25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19">
        <f>+[12]BS17!D49</f>
        <v>0</v>
      </c>
      <c r="D81" s="61"/>
      <c r="E81" s="103">
        <f>+SUM([12]BS17A!V670+[12]BS17A!V697+[12]BS17A!V716+[12]BS17A!V723+[12]BS17A!V726+[12]BS17A!V743+[12]BS17A!V760)</f>
        <v>0</v>
      </c>
      <c r="F81" s="8"/>
    </row>
    <row r="82" spans="1:6" ht="15" customHeight="1" x14ac:dyDescent="0.2">
      <c r="A82" s="104">
        <v>2001</v>
      </c>
      <c r="B82" s="28" t="s">
        <v>127</v>
      </c>
      <c r="C82" s="24">
        <f>+[12]BS17!E120</f>
        <v>1510</v>
      </c>
      <c r="D82" s="63"/>
      <c r="E82" s="105">
        <f>+[12]BS17A!V1562</f>
        <v>11768770</v>
      </c>
      <c r="F82" s="8"/>
    </row>
    <row r="83" spans="1:6" ht="15" customHeight="1" x14ac:dyDescent="0.2">
      <c r="A83" s="65" t="s">
        <v>128</v>
      </c>
      <c r="B83" s="30" t="s">
        <v>129</v>
      </c>
      <c r="C83" s="66">
        <f>+[12]BS17A!D1837</f>
        <v>21</v>
      </c>
      <c r="D83" s="67"/>
      <c r="E83" s="106">
        <f>+[12]BS17A!V1837</f>
        <v>1336550</v>
      </c>
      <c r="F83" s="8"/>
    </row>
    <row r="84" spans="1:6" ht="17.25" customHeight="1" x14ac:dyDescent="0.2">
      <c r="A84" s="96"/>
      <c r="B84" s="97" t="s">
        <v>130</v>
      </c>
      <c r="C84" s="56">
        <f>+SUM(C81:C83)</f>
        <v>1531</v>
      </c>
      <c r="D84" s="57"/>
      <c r="E84" s="107">
        <f>SUM(E81:E83)</f>
        <v>13105320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239" t="s">
        <v>131</v>
      </c>
      <c r="B87" s="240"/>
      <c r="C87" s="240"/>
      <c r="D87" s="240"/>
      <c r="E87" s="240"/>
      <c r="F87" s="241"/>
    </row>
    <row r="88" spans="1:6" ht="33.75" customHeight="1" x14ac:dyDescent="0.15">
      <c r="A88" s="260" t="s">
        <v>8</v>
      </c>
      <c r="B88" s="260" t="s">
        <v>9</v>
      </c>
      <c r="C88" s="242" t="s">
        <v>10</v>
      </c>
      <c r="D88" s="243"/>
      <c r="E88" s="243"/>
      <c r="F88" s="244"/>
    </row>
    <row r="89" spans="1:6" ht="35.25" customHeight="1" x14ac:dyDescent="0.15">
      <c r="A89" s="261"/>
      <c r="B89" s="261"/>
      <c r="C89" s="99" t="s">
        <v>132</v>
      </c>
      <c r="D89" s="108" t="s">
        <v>133</v>
      </c>
      <c r="E89" s="13" t="s">
        <v>134</v>
      </c>
      <c r="F89" s="1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+[12]BS17!F66</f>
        <v>0</v>
      </c>
      <c r="D90" s="110">
        <f>+[12]BS17!G66</f>
        <v>0</v>
      </c>
      <c r="E90" s="111">
        <f>+[12]BS17!H66</f>
        <v>0</v>
      </c>
      <c r="F90" s="112">
        <f>[12]BS17A!V807</f>
        <v>0</v>
      </c>
    </row>
    <row r="91" spans="1:6" ht="15" customHeight="1" x14ac:dyDescent="0.2">
      <c r="A91" s="22" t="s">
        <v>137</v>
      </c>
      <c r="B91" s="28" t="s">
        <v>138</v>
      </c>
      <c r="C91" s="113">
        <f>+[12]BS17!F67</f>
        <v>89</v>
      </c>
      <c r="D91" s="114">
        <f>+[12]BS17!G67</f>
        <v>0</v>
      </c>
      <c r="E91" s="115">
        <f>+[12]BS17!H67</f>
        <v>0</v>
      </c>
      <c r="F91" s="116">
        <f>[12]BS17A!V878</f>
        <v>25871280</v>
      </c>
    </row>
    <row r="92" spans="1:6" ht="15" customHeight="1" x14ac:dyDescent="0.2">
      <c r="A92" s="22" t="s">
        <v>139</v>
      </c>
      <c r="B92" s="28" t="s">
        <v>140</v>
      </c>
      <c r="C92" s="113">
        <f>+[12]BS17!F68</f>
        <v>18</v>
      </c>
      <c r="D92" s="114">
        <f>+[12]BS17!G68</f>
        <v>1</v>
      </c>
      <c r="E92" s="115">
        <f>+[12]BS17!H68</f>
        <v>0</v>
      </c>
      <c r="F92" s="116">
        <f>[12]BS17A!V957</f>
        <v>1427680</v>
      </c>
    </row>
    <row r="93" spans="1:6" ht="15" customHeight="1" x14ac:dyDescent="0.2">
      <c r="A93" s="22" t="s">
        <v>141</v>
      </c>
      <c r="B93" s="28" t="s">
        <v>142</v>
      </c>
      <c r="C93" s="113">
        <f>+[12]BS17!F69</f>
        <v>3</v>
      </c>
      <c r="D93" s="114">
        <f>+[12]BS17!G69</f>
        <v>0</v>
      </c>
      <c r="E93" s="115">
        <f>+[12]BS17!H69</f>
        <v>0</v>
      </c>
      <c r="F93" s="116">
        <f>[12]BS17A!V1033</f>
        <v>373050</v>
      </c>
    </row>
    <row r="94" spans="1:6" ht="15" customHeight="1" x14ac:dyDescent="0.2">
      <c r="A94" s="22" t="s">
        <v>143</v>
      </c>
      <c r="B94" s="28" t="s">
        <v>144</v>
      </c>
      <c r="C94" s="113">
        <f>+[12]BS17!F70</f>
        <v>95</v>
      </c>
      <c r="D94" s="114">
        <f>+[12]BS17!G70</f>
        <v>4</v>
      </c>
      <c r="E94" s="115">
        <f>+[12]BS17!H70</f>
        <v>0</v>
      </c>
      <c r="F94" s="116">
        <f>[12]BS17A!V1094</f>
        <v>6132830</v>
      </c>
    </row>
    <row r="95" spans="1:6" ht="15" customHeight="1" x14ac:dyDescent="0.2">
      <c r="A95" s="22" t="s">
        <v>145</v>
      </c>
      <c r="B95" s="28" t="s">
        <v>146</v>
      </c>
      <c r="C95" s="113">
        <f>+[12]BS17!F71</f>
        <v>153</v>
      </c>
      <c r="D95" s="114">
        <f>+[12]BS17!G71</f>
        <v>5</v>
      </c>
      <c r="E95" s="115">
        <f>+[12]BS17!H71</f>
        <v>0</v>
      </c>
      <c r="F95" s="116">
        <f>[12]BS17A!V1162</f>
        <v>3315065</v>
      </c>
    </row>
    <row r="96" spans="1:6" ht="15" customHeight="1" x14ac:dyDescent="0.2">
      <c r="A96" s="22" t="s">
        <v>147</v>
      </c>
      <c r="B96" s="28" t="s">
        <v>148</v>
      </c>
      <c r="C96" s="113">
        <f>+[12]BS17!F72</f>
        <v>1</v>
      </c>
      <c r="D96" s="114">
        <f>+[12]BS17!G72</f>
        <v>0</v>
      </c>
      <c r="E96" s="115">
        <f>+[12]BS17!H72</f>
        <v>0</v>
      </c>
      <c r="F96" s="116">
        <f>[12]BS17A!V1210</f>
        <v>71500</v>
      </c>
    </row>
    <row r="97" spans="1:6" ht="15" customHeight="1" x14ac:dyDescent="0.2">
      <c r="A97" s="22" t="s">
        <v>149</v>
      </c>
      <c r="B97" s="28" t="s">
        <v>150</v>
      </c>
      <c r="C97" s="113">
        <f>+[12]BS17!F73</f>
        <v>2</v>
      </c>
      <c r="D97" s="114">
        <f>+[12]BS17!G73</f>
        <v>0</v>
      </c>
      <c r="E97" s="115">
        <f>+[12]BS17!H73</f>
        <v>0</v>
      </c>
      <c r="F97" s="116">
        <f>[12]BS17A!V1276</f>
        <v>206600</v>
      </c>
    </row>
    <row r="98" spans="1:6" ht="15" customHeight="1" x14ac:dyDescent="0.2">
      <c r="A98" s="22" t="s">
        <v>151</v>
      </c>
      <c r="B98" s="28" t="s">
        <v>152</v>
      </c>
      <c r="C98" s="113">
        <f>+[12]BS17!F74</f>
        <v>140</v>
      </c>
      <c r="D98" s="114">
        <f>+[12]BS17!G74</f>
        <v>16</v>
      </c>
      <c r="E98" s="115">
        <f>+[12]BS17!H74</f>
        <v>0</v>
      </c>
      <c r="F98" s="116">
        <f>[12]BS17A!V1346</f>
        <v>35404260</v>
      </c>
    </row>
    <row r="99" spans="1:6" ht="15" customHeight="1" x14ac:dyDescent="0.2">
      <c r="A99" s="22" t="s">
        <v>153</v>
      </c>
      <c r="B99" s="28" t="s">
        <v>154</v>
      </c>
      <c r="C99" s="113">
        <f>+[12]BS17!F75</f>
        <v>3</v>
      </c>
      <c r="D99" s="114">
        <f>+[12]BS17!G75</f>
        <v>0</v>
      </c>
      <c r="E99" s="115">
        <f>+[12]BS17!H75</f>
        <v>0</v>
      </c>
      <c r="F99" s="116">
        <f>[12]BS17A!V1430</f>
        <v>695820</v>
      </c>
    </row>
    <row r="100" spans="1:6" ht="15" customHeight="1" x14ac:dyDescent="0.2">
      <c r="A100" s="22" t="s">
        <v>155</v>
      </c>
      <c r="B100" s="28" t="s">
        <v>156</v>
      </c>
      <c r="C100" s="113">
        <f>+[12]BS17!F76</f>
        <v>12</v>
      </c>
      <c r="D100" s="114">
        <f>+[12]BS17!G76</f>
        <v>0</v>
      </c>
      <c r="E100" s="115">
        <f>+[12]BS17!H76</f>
        <v>0</v>
      </c>
      <c r="F100" s="116">
        <f>[12]BS17A!V1477</f>
        <v>1735540</v>
      </c>
    </row>
    <row r="101" spans="1:6" ht="15" customHeight="1" x14ac:dyDescent="0.2">
      <c r="A101" s="22" t="s">
        <v>157</v>
      </c>
      <c r="B101" s="28" t="s">
        <v>158</v>
      </c>
      <c r="C101" s="113">
        <f>+[12]BS17!F77</f>
        <v>1</v>
      </c>
      <c r="D101" s="114">
        <f>+[12]BS17!G77</f>
        <v>0</v>
      </c>
      <c r="E101" s="115">
        <f>+[12]BS17!H77</f>
        <v>0</v>
      </c>
      <c r="F101" s="116">
        <f>[12]BS17A!V1580</f>
        <v>28220</v>
      </c>
    </row>
    <row r="102" spans="1:6" ht="15" customHeight="1" x14ac:dyDescent="0.2">
      <c r="A102" s="65" t="s">
        <v>159</v>
      </c>
      <c r="B102" s="30" t="s">
        <v>160</v>
      </c>
      <c r="C102" s="117">
        <f>+[12]BS17!F78</f>
        <v>27</v>
      </c>
      <c r="D102" s="118">
        <f>+[12]BS17!G78</f>
        <v>7</v>
      </c>
      <c r="E102" s="119">
        <f>+[12]BS17!H78</f>
        <v>0</v>
      </c>
      <c r="F102" s="120">
        <f>[12]BS17A!V1585</f>
        <v>5686140</v>
      </c>
    </row>
    <row r="103" spans="1:6" ht="15" customHeight="1" x14ac:dyDescent="0.2">
      <c r="A103" s="17" t="s">
        <v>161</v>
      </c>
      <c r="B103" s="36" t="s">
        <v>162</v>
      </c>
      <c r="C103" s="109">
        <f>+[12]BS17!F79</f>
        <v>58</v>
      </c>
      <c r="D103" s="110">
        <f>+[12]BS17!G79</f>
        <v>0</v>
      </c>
      <c r="E103" s="111">
        <f>+[12]BS17!H79</f>
        <v>0</v>
      </c>
      <c r="F103" s="112">
        <f>+[12]BS17A!V1619</f>
        <v>6373170</v>
      </c>
    </row>
    <row r="104" spans="1:6" ht="15" customHeight="1" x14ac:dyDescent="0.2">
      <c r="A104" s="22"/>
      <c r="B104" s="28" t="s">
        <v>163</v>
      </c>
      <c r="C104" s="113">
        <f>+[12]BS17A!D1623</f>
        <v>0</v>
      </c>
      <c r="D104" s="114">
        <f>+[12]BS17A!F1623</f>
        <v>0</v>
      </c>
      <c r="E104" s="115">
        <f>+[12]BS17A!G1623</f>
        <v>0</v>
      </c>
      <c r="F104" s="116">
        <f>+[12]BS17A!V1623</f>
        <v>0</v>
      </c>
    </row>
    <row r="105" spans="1:6" ht="15" customHeight="1" x14ac:dyDescent="0.2">
      <c r="A105" s="22"/>
      <c r="B105" s="28" t="s">
        <v>164</v>
      </c>
      <c r="C105" s="113">
        <f>+[12]BS17A!D1622</f>
        <v>41</v>
      </c>
      <c r="D105" s="114">
        <f>+[12]BS17A!F1622</f>
        <v>0</v>
      </c>
      <c r="E105" s="115">
        <f>+[12]BS17A!G1622</f>
        <v>0</v>
      </c>
      <c r="F105" s="116">
        <f>+[12]BS17A!V1622</f>
        <v>4852350</v>
      </c>
    </row>
    <row r="106" spans="1:6" ht="15" customHeight="1" x14ac:dyDescent="0.2">
      <c r="A106" s="29"/>
      <c r="B106" s="39" t="s">
        <v>165</v>
      </c>
      <c r="C106" s="121">
        <f>+[12]BS17A!D1620+[12]BS17A!D1621</f>
        <v>17</v>
      </c>
      <c r="D106" s="122">
        <f>+[12]BS17A!F1620+[12]BS17A!F1621</f>
        <v>0</v>
      </c>
      <c r="E106" s="123">
        <f>+[12]BS17A!G1620+[12]BS17A!G1621</f>
        <v>0</v>
      </c>
      <c r="F106" s="124">
        <f>+[12]BS17A!V1620+[12]BS17A!V1621</f>
        <v>1520820</v>
      </c>
    </row>
    <row r="107" spans="1:6" ht="15" customHeight="1" x14ac:dyDescent="0.2">
      <c r="A107" s="59" t="s">
        <v>166</v>
      </c>
      <c r="B107" s="79" t="s">
        <v>167</v>
      </c>
      <c r="C107" s="125">
        <f>+[12]BS17!F80</f>
        <v>49</v>
      </c>
      <c r="D107" s="126">
        <f>+[12]BS17!G80</f>
        <v>2</v>
      </c>
      <c r="E107" s="127">
        <f>+[12]BS17!H80</f>
        <v>0</v>
      </c>
      <c r="F107" s="128">
        <f>+[12]BS17A!V1627</f>
        <v>8507900</v>
      </c>
    </row>
    <row r="108" spans="1:6" ht="15" customHeight="1" x14ac:dyDescent="0.2">
      <c r="A108" s="129">
        <v>2106</v>
      </c>
      <c r="B108" s="39" t="s">
        <v>168</v>
      </c>
      <c r="C108" s="121">
        <f>[12]BS17A!D1833</f>
        <v>3</v>
      </c>
      <c r="D108" s="122">
        <f>[12]BS17A!F1833</f>
        <v>1</v>
      </c>
      <c r="E108" s="123">
        <f>[12]BS17A!G1833</f>
        <v>0</v>
      </c>
      <c r="F108" s="124">
        <f>+[12]BS17A!V1833</f>
        <v>173215</v>
      </c>
    </row>
    <row r="109" spans="1:6" ht="15" customHeight="1" x14ac:dyDescent="0.2">
      <c r="A109" s="130"/>
      <c r="B109" s="131" t="s">
        <v>169</v>
      </c>
      <c r="C109" s="132">
        <f>SUM(C90:C108)-C103</f>
        <v>654</v>
      </c>
      <c r="D109" s="133">
        <f>SUM(D90:D108)-D103</f>
        <v>36</v>
      </c>
      <c r="E109" s="134">
        <f>+SUM(E90:E103)+E107+E108</f>
        <v>0</v>
      </c>
      <c r="F109" s="135">
        <f>+SUM(F90:F103)+F107+F108</f>
        <v>96002270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256" t="s">
        <v>170</v>
      </c>
      <c r="B112" s="252"/>
      <c r="C112" s="252"/>
      <c r="D112" s="252"/>
      <c r="E112" s="253"/>
      <c r="F112" s="5"/>
    </row>
    <row r="113" spans="1:6" ht="38.25" x14ac:dyDescent="0.2">
      <c r="A113" s="11" t="s">
        <v>8</v>
      </c>
      <c r="B113" s="11" t="s">
        <v>9</v>
      </c>
      <c r="C113" s="12" t="s">
        <v>10</v>
      </c>
      <c r="D113" s="13" t="s">
        <v>11</v>
      </c>
      <c r="E113" s="1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19">
        <f>+[12]BS17A!D1624</f>
        <v>109</v>
      </c>
      <c r="D114" s="136">
        <f>+[12]BS17A!U1624</f>
        <v>118340</v>
      </c>
      <c r="E114" s="137">
        <f>+[12]BS17A!V1624</f>
        <v>12899060</v>
      </c>
      <c r="F114" s="8"/>
    </row>
    <row r="115" spans="1:6" ht="15" customHeight="1" x14ac:dyDescent="0.2">
      <c r="A115" s="29" t="s">
        <v>173</v>
      </c>
      <c r="B115" s="138" t="s">
        <v>174</v>
      </c>
      <c r="C115" s="66">
        <f>+[12]BS17A!D1625</f>
        <v>2</v>
      </c>
      <c r="D115" s="139">
        <f>+[12]BS17A!U1625</f>
        <v>124520</v>
      </c>
      <c r="E115" s="106">
        <f>+[12]BS17A!V1625</f>
        <v>249040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111</v>
      </c>
      <c r="D116" s="57"/>
      <c r="E116" s="107">
        <f>SUM(E114:E115)</f>
        <v>13148100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262" t="s">
        <v>176</v>
      </c>
      <c r="B119" s="262"/>
      <c r="C119" s="262"/>
      <c r="D119" s="8"/>
      <c r="E119" s="8"/>
      <c r="F119" s="5"/>
    </row>
    <row r="120" spans="1:6" ht="28.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+[12]BS17A!V1859+[12]BS17A!V1876+[12]BS17A!V1895</f>
        <v>9150440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256" t="s">
        <v>179</v>
      </c>
      <c r="B124" s="252"/>
      <c r="C124" s="252"/>
      <c r="D124" s="252"/>
      <c r="E124" s="253"/>
      <c r="F124" s="5"/>
    </row>
    <row r="125" spans="1:6" ht="38.25" x14ac:dyDescent="0.2">
      <c r="A125" s="11" t="s">
        <v>8</v>
      </c>
      <c r="B125" s="11" t="s">
        <v>9</v>
      </c>
      <c r="C125" s="12" t="s">
        <v>10</v>
      </c>
      <c r="D125" s="13" t="s">
        <v>11</v>
      </c>
      <c r="E125" s="1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19">
        <f>+[12]BS17A!$D59</f>
        <v>4697</v>
      </c>
      <c r="D126" s="37">
        <f>+[12]BS17A!$U59</f>
        <v>30310</v>
      </c>
      <c r="E126" s="145">
        <f>+[12]BS17A!$V59</f>
        <v>142366070</v>
      </c>
      <c r="F126" s="8"/>
    </row>
    <row r="127" spans="1:6" ht="15" customHeight="1" x14ac:dyDescent="0.2">
      <c r="A127" s="22" t="s">
        <v>182</v>
      </c>
      <c r="B127" s="23" t="s">
        <v>183</v>
      </c>
      <c r="C127" s="24">
        <f>+[12]BS17A!$D60</f>
        <v>0</v>
      </c>
      <c r="D127" s="25">
        <f>+[12]BS17A!$U60</f>
        <v>27900</v>
      </c>
      <c r="E127" s="146">
        <f>+[12]BS17A!$V60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24">
        <f>+[12]BS17A!$D61</f>
        <v>0</v>
      </c>
      <c r="D128" s="25">
        <f>+[12]BS17A!$U61</f>
        <v>23260</v>
      </c>
      <c r="E128" s="146">
        <f>+[12]BS17A!$V61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24">
        <f>SUM([12]BS17A!D62:D64)</f>
        <v>0</v>
      </c>
      <c r="D129" s="25">
        <f>+[12]BS17A!$U62</f>
        <v>126000</v>
      </c>
      <c r="E129" s="146">
        <f>SUM([12]BS17A!V62:V64)</f>
        <v>0</v>
      </c>
      <c r="F129" s="8"/>
    </row>
    <row r="130" spans="1:6" ht="15" customHeight="1" x14ac:dyDescent="0.2">
      <c r="A130" s="22" t="s">
        <v>188</v>
      </c>
      <c r="B130" s="23" t="s">
        <v>189</v>
      </c>
      <c r="C130" s="24">
        <f>SUM([12]BS17A!D65:D67)</f>
        <v>388</v>
      </c>
      <c r="D130" s="25">
        <f>+[12]BS17A!$U65</f>
        <v>60860</v>
      </c>
      <c r="E130" s="146">
        <f>SUM([12]BS17A!V65:V67)</f>
        <v>23613680</v>
      </c>
      <c r="F130" s="8"/>
    </row>
    <row r="131" spans="1:6" ht="15" customHeight="1" x14ac:dyDescent="0.2">
      <c r="A131" s="22" t="s">
        <v>190</v>
      </c>
      <c r="B131" s="23" t="s">
        <v>191</v>
      </c>
      <c r="C131" s="24">
        <f>+[12]BS17A!D68</f>
        <v>112</v>
      </c>
      <c r="D131" s="25">
        <f>+[12]BS17A!$U68</f>
        <v>54600</v>
      </c>
      <c r="E131" s="146">
        <f>+[12]BS17A!$V68</f>
        <v>6115200</v>
      </c>
      <c r="F131" s="8"/>
    </row>
    <row r="132" spans="1:6" ht="15" customHeight="1" x14ac:dyDescent="0.2">
      <c r="A132" s="22" t="s">
        <v>192</v>
      </c>
      <c r="B132" s="23" t="s">
        <v>193</v>
      </c>
      <c r="C132" s="24">
        <f>+[12]BS17A!$D69</f>
        <v>0</v>
      </c>
      <c r="D132" s="25">
        <f>+[12]BS17A!$U69</f>
        <v>15500</v>
      </c>
      <c r="E132" s="146">
        <f>+[12]BS17A!$V69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24">
        <f>+[12]BS17A!$D70</f>
        <v>0</v>
      </c>
      <c r="D133" s="25">
        <f>+[12]BS17A!$U70</f>
        <v>24280</v>
      </c>
      <c r="E133" s="146">
        <f>+[12]BS17A!$V70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24">
        <f>+[12]BS17A!$D73</f>
        <v>0</v>
      </c>
      <c r="D134" s="25">
        <f>+[12]BS17A!$U73</f>
        <v>24470</v>
      </c>
      <c r="E134" s="146">
        <f>+[12]BS17A!$V73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24">
        <f>+[12]BS17A!$D71</f>
        <v>0</v>
      </c>
      <c r="D135" s="25">
        <f>+[12]BS17A!$U71</f>
        <v>25270</v>
      </c>
      <c r="E135" s="146">
        <f>+[12]BS17A!$V71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24">
        <f>+[12]BS17A!$D76</f>
        <v>0</v>
      </c>
      <c r="D136" s="25">
        <f>+[12]BS17A!$U76</f>
        <v>30310</v>
      </c>
      <c r="E136" s="146">
        <f>+[12]BS17A!$V76</f>
        <v>0</v>
      </c>
      <c r="F136" s="8"/>
    </row>
    <row r="137" spans="1:6" ht="15" customHeight="1" x14ac:dyDescent="0.2">
      <c r="A137" s="22" t="s">
        <v>202</v>
      </c>
      <c r="B137" s="28" t="s">
        <v>203</v>
      </c>
      <c r="C137" s="24">
        <f>+[12]BS17A!$D79</f>
        <v>42</v>
      </c>
      <c r="D137" s="25">
        <f>+[12]BS17A!$U79</f>
        <v>5880</v>
      </c>
      <c r="E137" s="146">
        <f>+[12]BS17A!$V79</f>
        <v>246960</v>
      </c>
      <c r="F137" s="8"/>
    </row>
    <row r="138" spans="1:6" ht="15" customHeight="1" x14ac:dyDescent="0.2">
      <c r="A138" s="22" t="s">
        <v>204</v>
      </c>
      <c r="B138" s="28" t="s">
        <v>205</v>
      </c>
      <c r="C138" s="24">
        <f>+[12]BS17A!$D80</f>
        <v>0</v>
      </c>
      <c r="D138" s="25">
        <f>+[12]BS17A!$U80</f>
        <v>42470</v>
      </c>
      <c r="E138" s="146">
        <f>+[12]BS17A!$V80</f>
        <v>0</v>
      </c>
      <c r="F138" s="8"/>
    </row>
    <row r="139" spans="1:6" ht="15" customHeight="1" x14ac:dyDescent="0.2">
      <c r="A139" s="29"/>
      <c r="B139" s="147" t="s">
        <v>206</v>
      </c>
      <c r="C139" s="148">
        <f>SUM(C126:C138)</f>
        <v>5239</v>
      </c>
      <c r="D139" s="149"/>
      <c r="E139" s="150">
        <f>SUM(E126:E138)</f>
        <v>172341910</v>
      </c>
      <c r="F139" s="8"/>
    </row>
    <row r="140" spans="1:6" ht="15" customHeight="1" x14ac:dyDescent="0.2">
      <c r="A140" s="17"/>
      <c r="B140" s="81" t="s">
        <v>207</v>
      </c>
      <c r="C140" s="19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24">
        <f>+[12]BS17A!$D72</f>
        <v>0</v>
      </c>
      <c r="D141" s="25">
        <f>+[12]BS17A!$U72</f>
        <v>10190</v>
      </c>
      <c r="E141" s="146">
        <f>+[12]BS17A!$V72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24">
        <f>+[12]BS17A!$D74</f>
        <v>0</v>
      </c>
      <c r="D142" s="25">
        <f>+[12]BS17A!$U74</f>
        <v>10190</v>
      </c>
      <c r="E142" s="146">
        <f>+[12]BS17A!$V74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24">
        <f>+[12]BS17A!$D75</f>
        <v>4</v>
      </c>
      <c r="D143" s="25">
        <f>+[12]BS17A!$U75</f>
        <v>4490</v>
      </c>
      <c r="E143" s="146">
        <f>+[12]BS17A!$V75</f>
        <v>17960</v>
      </c>
      <c r="F143" s="8"/>
    </row>
    <row r="144" spans="1:6" ht="15" customHeight="1" x14ac:dyDescent="0.2">
      <c r="A144" s="22" t="s">
        <v>214</v>
      </c>
      <c r="B144" s="23" t="s">
        <v>215</v>
      </c>
      <c r="C144" s="24">
        <f>+[12]BS17A!$D77</f>
        <v>0</v>
      </c>
      <c r="D144" s="25">
        <f>+[12]BS17A!$U77</f>
        <v>81940</v>
      </c>
      <c r="E144" s="146">
        <f>+[12]BS17A!$V77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24">
        <f>+[12]BS17A!$D78</f>
        <v>0</v>
      </c>
      <c r="D145" s="25">
        <f>+[12]BS17A!$U78</f>
        <v>9670</v>
      </c>
      <c r="E145" s="146">
        <f>+[12]BS17A!$V78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24">
        <f>+[12]BS17A!$D81</f>
        <v>0</v>
      </c>
      <c r="D146" s="25">
        <f>+[12]BS17A!$U81</f>
        <v>7450</v>
      </c>
      <c r="E146" s="146">
        <f>+[12]BS17A!$V81</f>
        <v>0</v>
      </c>
      <c r="F146" s="8"/>
    </row>
    <row r="147" spans="1:6" ht="15" customHeight="1" x14ac:dyDescent="0.2">
      <c r="A147" s="29"/>
      <c r="B147" s="147" t="s">
        <v>220</v>
      </c>
      <c r="C147" s="148">
        <f>SUM(C141:C146)</f>
        <v>4</v>
      </c>
      <c r="D147" s="149"/>
      <c r="E147" s="150">
        <f>SUM(E141:E146)</f>
        <v>17960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5243</v>
      </c>
      <c r="D148" s="151"/>
      <c r="E148" s="152">
        <f>+E139+E147</f>
        <v>172359870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239" t="s">
        <v>222</v>
      </c>
      <c r="B151" s="240"/>
      <c r="C151" s="240"/>
      <c r="D151" s="240"/>
      <c r="E151" s="241"/>
      <c r="F151" s="5"/>
    </row>
    <row r="152" spans="1:6" ht="36" customHeight="1" x14ac:dyDescent="0.2">
      <c r="A152" s="11" t="s">
        <v>8</v>
      </c>
      <c r="B152" s="11" t="s">
        <v>9</v>
      </c>
      <c r="C152" s="12" t="s">
        <v>10</v>
      </c>
      <c r="D152" s="13" t="s">
        <v>11</v>
      </c>
      <c r="E152" s="1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19">
        <f>+[12]BS17A!D43</f>
        <v>5536</v>
      </c>
      <c r="D153" s="37">
        <f>[12]BS17A!U43</f>
        <v>700</v>
      </c>
      <c r="E153" s="145">
        <f>+[12]BS17A!V43</f>
        <v>3875200</v>
      </c>
      <c r="F153" s="8"/>
    </row>
    <row r="154" spans="1:6" ht="15" customHeight="1" x14ac:dyDescent="0.2">
      <c r="A154" s="29" t="s">
        <v>225</v>
      </c>
      <c r="B154" s="43" t="s">
        <v>226</v>
      </c>
      <c r="C154" s="31">
        <f>+[12]BS17A!D44+[12]BS17A!D45</f>
        <v>0</v>
      </c>
      <c r="D154" s="40">
        <f>[12]BS17A!U44</f>
        <v>100</v>
      </c>
      <c r="E154" s="153">
        <f>+[12]BS17A!V44+[12]BS17A!V45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5536</v>
      </c>
      <c r="D155" s="151"/>
      <c r="E155" s="152">
        <f>SUM(E153:E154)</f>
        <v>3875200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239" t="s">
        <v>228</v>
      </c>
      <c r="B158" s="240"/>
      <c r="C158" s="240"/>
      <c r="D158" s="240"/>
      <c r="E158" s="241"/>
      <c r="F158" s="5"/>
    </row>
    <row r="159" spans="1:6" ht="47.25" customHeight="1" x14ac:dyDescent="0.2">
      <c r="A159" s="11" t="s">
        <v>8</v>
      </c>
      <c r="B159" s="11" t="s">
        <v>9</v>
      </c>
      <c r="C159" s="12" t="s">
        <v>10</v>
      </c>
      <c r="D159" s="13" t="s">
        <v>11</v>
      </c>
      <c r="E159" s="1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+[12]BS17A!$D1470</f>
        <v>0</v>
      </c>
      <c r="D160" s="37">
        <f>+[12]BS17A!$U1470</f>
        <v>38160</v>
      </c>
      <c r="E160" s="145">
        <f>+[12]BS17A!$V1470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+[12]BS17A!$D1471</f>
        <v>0</v>
      </c>
      <c r="D161" s="25">
        <f>+[12]BS17A!$U1471</f>
        <v>24000</v>
      </c>
      <c r="E161" s="146">
        <f>+[12]BS17A!$V1471</f>
        <v>0</v>
      </c>
      <c r="F161" s="8"/>
    </row>
    <row r="162" spans="1:6" ht="15" customHeight="1" x14ac:dyDescent="0.2">
      <c r="A162" s="22" t="s">
        <v>233</v>
      </c>
      <c r="B162" s="28" t="s">
        <v>234</v>
      </c>
      <c r="C162" s="155">
        <f>+[12]BS17A!$D1472</f>
        <v>0</v>
      </c>
      <c r="D162" s="25">
        <f>+[12]BS17A!$U1472</f>
        <v>24000</v>
      </c>
      <c r="E162" s="146">
        <f>+[12]BS17A!$V1472</f>
        <v>0</v>
      </c>
      <c r="F162" s="8"/>
    </row>
    <row r="163" spans="1:6" ht="15" customHeight="1" x14ac:dyDescent="0.2">
      <c r="A163" s="22" t="s">
        <v>235</v>
      </c>
      <c r="B163" s="156" t="s">
        <v>236</v>
      </c>
      <c r="C163" s="155">
        <f>+[12]BS17A!$D1473</f>
        <v>0</v>
      </c>
      <c r="D163" s="25">
        <f>+[12]BS17A!$U1473</f>
        <v>726900</v>
      </c>
      <c r="E163" s="146">
        <f>+[12]BS17A!$V1473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+[12]BS17A!$D1474</f>
        <v>0</v>
      </c>
      <c r="D164" s="25">
        <f>+[12]BS17A!$U1474</f>
        <v>515080</v>
      </c>
      <c r="E164" s="146">
        <f>+[12]BS17A!$V1474</f>
        <v>0</v>
      </c>
      <c r="F164" s="8"/>
    </row>
    <row r="165" spans="1:6" ht="15" customHeight="1" x14ac:dyDescent="0.2">
      <c r="A165" s="65" t="s">
        <v>239</v>
      </c>
      <c r="B165" s="138" t="s">
        <v>240</v>
      </c>
      <c r="C165" s="155">
        <f>+[12]BS17A!$D1475</f>
        <v>0</v>
      </c>
      <c r="D165" s="25">
        <f>+[12]BS17A!$U1475</f>
        <v>43850</v>
      </c>
      <c r="E165" s="146">
        <f>+[12]BS17A!$V1475</f>
        <v>0</v>
      </c>
      <c r="F165" s="8"/>
    </row>
    <row r="166" spans="1:6" ht="15" customHeight="1" x14ac:dyDescent="0.2">
      <c r="A166" s="129">
        <v>1901029</v>
      </c>
      <c r="B166" s="157" t="s">
        <v>241</v>
      </c>
      <c r="C166" s="158">
        <f>+[12]BS17A!$D1476</f>
        <v>0</v>
      </c>
      <c r="D166" s="40">
        <f>+[12]BS17A!$U1476</f>
        <v>591930</v>
      </c>
      <c r="E166" s="153">
        <f>+[12]BS17A!$V1476</f>
        <v>0</v>
      </c>
      <c r="F166" s="8"/>
    </row>
    <row r="167" spans="1:6" ht="15" customHeight="1" x14ac:dyDescent="0.2">
      <c r="A167" s="159"/>
      <c r="B167" s="160" t="s">
        <v>242</v>
      </c>
      <c r="C167" s="161">
        <f>SUM(C160:C166)</f>
        <v>0</v>
      </c>
      <c r="D167" s="162"/>
      <c r="E167" s="163">
        <f>SUM(E160:E166)</f>
        <v>0</v>
      </c>
      <c r="F167" s="8"/>
    </row>
    <row r="168" spans="1:6" ht="12.75" x14ac:dyDescent="0.2">
      <c r="A168" s="8"/>
      <c r="B168" s="8"/>
      <c r="C168" s="8"/>
      <c r="D168" s="8"/>
      <c r="E168" s="8"/>
      <c r="F168" s="8"/>
    </row>
    <row r="169" spans="1:6" ht="18" customHeight="1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256" t="s">
        <v>243</v>
      </c>
      <c r="B170" s="252"/>
      <c r="C170" s="252"/>
      <c r="D170" s="252"/>
      <c r="E170" s="253"/>
      <c r="F170" s="5"/>
    </row>
    <row r="171" spans="1:6" ht="35.25" customHeight="1" x14ac:dyDescent="0.2">
      <c r="A171" s="11" t="s">
        <v>8</v>
      </c>
      <c r="B171" s="11" t="s">
        <v>9</v>
      </c>
      <c r="C171" s="12" t="s">
        <v>10</v>
      </c>
      <c r="D171" s="13" t="s">
        <v>11</v>
      </c>
      <c r="E171" s="14" t="s">
        <v>12</v>
      </c>
      <c r="F171" s="8"/>
    </row>
    <row r="172" spans="1:6" ht="12.75" customHeight="1" x14ac:dyDescent="0.2">
      <c r="A172" s="164">
        <v>1101004</v>
      </c>
      <c r="B172" s="165" t="s">
        <v>244</v>
      </c>
      <c r="C172" s="19">
        <f>+[12]BS17A!$D801</f>
        <v>0</v>
      </c>
      <c r="D172" s="37">
        <f>+[12]BS17A!$U801</f>
        <v>13080</v>
      </c>
      <c r="E172" s="145">
        <f>+[12]BS17A!$V801</f>
        <v>0</v>
      </c>
      <c r="F172" s="8"/>
    </row>
    <row r="173" spans="1:6" ht="12.75" customHeight="1" x14ac:dyDescent="0.2">
      <c r="A173" s="104">
        <v>1101006</v>
      </c>
      <c r="B173" s="166" t="s">
        <v>245</v>
      </c>
      <c r="C173" s="24">
        <f>+[12]BS17A!$D802</f>
        <v>9</v>
      </c>
      <c r="D173" s="25">
        <f>+[12]BS17A!$U802</f>
        <v>10470</v>
      </c>
      <c r="E173" s="146">
        <f>+[12]BS17A!$V802</f>
        <v>94230</v>
      </c>
      <c r="F173" s="8"/>
    </row>
    <row r="174" spans="1:6" ht="24.75" customHeight="1" x14ac:dyDescent="0.2">
      <c r="A174" s="104" t="s">
        <v>246</v>
      </c>
      <c r="B174" s="167" t="s">
        <v>247</v>
      </c>
      <c r="C174" s="24">
        <f>+[12]BS17A!$D1186</f>
        <v>698</v>
      </c>
      <c r="D174" s="25">
        <f>+[12]BS17A!$U1186</f>
        <v>4480</v>
      </c>
      <c r="E174" s="146">
        <f>+[12]BS17A!$V1186</f>
        <v>3127040</v>
      </c>
      <c r="F174" s="8"/>
    </row>
    <row r="175" spans="1:6" ht="24.75" customHeight="1" x14ac:dyDescent="0.2">
      <c r="A175" s="104" t="s">
        <v>248</v>
      </c>
      <c r="B175" s="167" t="s">
        <v>249</v>
      </c>
      <c r="C175" s="24">
        <f>+[12]BS17A!$D1187</f>
        <v>22</v>
      </c>
      <c r="D175" s="25">
        <f>+[12]BS17A!$U1187</f>
        <v>12640</v>
      </c>
      <c r="E175" s="146">
        <f>+[12]BS17A!$V1187</f>
        <v>278080</v>
      </c>
      <c r="F175" s="8"/>
    </row>
    <row r="176" spans="1:6" ht="24.75" customHeight="1" x14ac:dyDescent="0.2">
      <c r="A176" s="104" t="s">
        <v>250</v>
      </c>
      <c r="B176" s="167" t="s">
        <v>251</v>
      </c>
      <c r="C176" s="24">
        <f>+[12]BS17A!$D1188</f>
        <v>27</v>
      </c>
      <c r="D176" s="25">
        <f>+[12]BS17A!$U1188</f>
        <v>21430</v>
      </c>
      <c r="E176" s="146">
        <f>+[12]BS17A!$V1188</f>
        <v>578610</v>
      </c>
      <c r="F176" s="8"/>
    </row>
    <row r="177" spans="1:6" ht="12.75" customHeight="1" x14ac:dyDescent="0.2">
      <c r="A177" s="104" t="s">
        <v>252</v>
      </c>
      <c r="B177" s="167" t="s">
        <v>253</v>
      </c>
      <c r="C177" s="24">
        <f>+[12]BS17A!$D1189</f>
        <v>0</v>
      </c>
      <c r="D177" s="25">
        <f>+[12]BS17A!$U1189</f>
        <v>40910</v>
      </c>
      <c r="E177" s="146">
        <f>+[12]BS17A!$V1189</f>
        <v>0</v>
      </c>
      <c r="F177" s="8"/>
    </row>
    <row r="178" spans="1:6" ht="12.75" customHeight="1" x14ac:dyDescent="0.2">
      <c r="A178" s="104" t="s">
        <v>254</v>
      </c>
      <c r="B178" s="167" t="s">
        <v>255</v>
      </c>
      <c r="C178" s="24">
        <f>+[12]BS17A!$D1190</f>
        <v>41</v>
      </c>
      <c r="D178" s="25">
        <f>+[12]BS17A!$U1190</f>
        <v>45600</v>
      </c>
      <c r="E178" s="146">
        <f>+[12]BS17A!$V1190</f>
        <v>1869600</v>
      </c>
      <c r="F178" s="8"/>
    </row>
    <row r="179" spans="1:6" ht="24.75" customHeight="1" x14ac:dyDescent="0.2">
      <c r="A179" s="104" t="s">
        <v>256</v>
      </c>
      <c r="B179" s="167" t="s">
        <v>257</v>
      </c>
      <c r="C179" s="24">
        <f>+[12]BS17A!$D1191</f>
        <v>0</v>
      </c>
      <c r="D179" s="25">
        <f>+[12]BS17A!$U1191</f>
        <v>25580</v>
      </c>
      <c r="E179" s="146">
        <f>+[12]BS17A!$V1191</f>
        <v>0</v>
      </c>
      <c r="F179" s="8"/>
    </row>
    <row r="180" spans="1:6" ht="12.75" customHeight="1" x14ac:dyDescent="0.2">
      <c r="A180" s="104" t="s">
        <v>258</v>
      </c>
      <c r="B180" s="156" t="s">
        <v>259</v>
      </c>
      <c r="C180" s="24">
        <f>+[12]BS17A!$D1192</f>
        <v>0</v>
      </c>
      <c r="D180" s="25">
        <f>+[12]BS17A!$U1192</f>
        <v>197910</v>
      </c>
      <c r="E180" s="146">
        <f>+[12]BS17A!$V1192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24">
        <f>+[12]BS17A!$D1193</f>
        <v>0</v>
      </c>
      <c r="D181" s="25">
        <f>+[12]BS17A!$U1193</f>
        <v>224990</v>
      </c>
      <c r="E181" s="146">
        <f>+[12]BS17A!$V1193</f>
        <v>0</v>
      </c>
      <c r="F181" s="8"/>
    </row>
    <row r="182" spans="1:6" ht="12.75" customHeight="1" x14ac:dyDescent="0.2">
      <c r="A182" s="104" t="s">
        <v>262</v>
      </c>
      <c r="B182" s="167" t="s">
        <v>263</v>
      </c>
      <c r="C182" s="24">
        <f>+[12]BS17A!$D1194</f>
        <v>0</v>
      </c>
      <c r="D182" s="25">
        <f>+[12]BS17A!$U1194</f>
        <v>183470</v>
      </c>
      <c r="E182" s="146">
        <f>+[12]BS17A!$V1194</f>
        <v>0</v>
      </c>
      <c r="F182" s="8"/>
    </row>
    <row r="183" spans="1:6" ht="24.75" customHeight="1" x14ac:dyDescent="0.2">
      <c r="A183" s="104" t="s">
        <v>264</v>
      </c>
      <c r="B183" s="156" t="s">
        <v>265</v>
      </c>
      <c r="C183" s="24">
        <f>+[12]BS17A!$D1195</f>
        <v>0</v>
      </c>
      <c r="D183" s="25">
        <f>+[12]BS17A!$U1195</f>
        <v>235660</v>
      </c>
      <c r="E183" s="146">
        <f>+[12]BS17A!$V1195</f>
        <v>0</v>
      </c>
      <c r="F183" s="8"/>
    </row>
    <row r="184" spans="1:6" ht="24.75" customHeight="1" x14ac:dyDescent="0.2">
      <c r="A184" s="104" t="s">
        <v>266</v>
      </c>
      <c r="B184" s="156" t="s">
        <v>267</v>
      </c>
      <c r="C184" s="24">
        <f>+[12]BS17A!$D1196</f>
        <v>0</v>
      </c>
      <c r="D184" s="25">
        <f>+[12]BS17A!$U1196</f>
        <v>241140</v>
      </c>
      <c r="E184" s="146">
        <f>+[12]BS17A!$V1196</f>
        <v>0</v>
      </c>
      <c r="F184" s="8"/>
    </row>
    <row r="185" spans="1:6" ht="24.75" customHeight="1" x14ac:dyDescent="0.2">
      <c r="A185" s="104" t="s">
        <v>268</v>
      </c>
      <c r="B185" s="156" t="s">
        <v>269</v>
      </c>
      <c r="C185" s="24">
        <f>+[12]BS17A!$D1197</f>
        <v>0</v>
      </c>
      <c r="D185" s="25">
        <f>+[12]BS17A!$U1197</f>
        <v>203920</v>
      </c>
      <c r="E185" s="146">
        <f>+[12]BS17A!$V1197</f>
        <v>0</v>
      </c>
      <c r="F185" s="8"/>
    </row>
    <row r="186" spans="1:6" ht="12.75" customHeight="1" x14ac:dyDescent="0.2">
      <c r="A186" s="104" t="s">
        <v>270</v>
      </c>
      <c r="B186" s="156" t="s">
        <v>271</v>
      </c>
      <c r="C186" s="24">
        <f>+[12]BS17A!$D1198</f>
        <v>0</v>
      </c>
      <c r="D186" s="25">
        <f>+[12]BS17A!$U1198</f>
        <v>217670</v>
      </c>
      <c r="E186" s="146">
        <f>+[12]BS17A!$V1198</f>
        <v>0</v>
      </c>
      <c r="F186" s="8"/>
    </row>
    <row r="187" spans="1:6" ht="12.75" customHeight="1" x14ac:dyDescent="0.2">
      <c r="A187" s="104" t="s">
        <v>272</v>
      </c>
      <c r="B187" s="156" t="s">
        <v>273</v>
      </c>
      <c r="C187" s="24">
        <f>+[12]BS17A!$D1199</f>
        <v>0</v>
      </c>
      <c r="D187" s="25">
        <f>+[12]BS17A!$U1199</f>
        <v>260270</v>
      </c>
      <c r="E187" s="146">
        <f>+[12]BS17A!$V1199</f>
        <v>0</v>
      </c>
      <c r="F187" s="8"/>
    </row>
    <row r="188" spans="1:6" ht="24.75" customHeight="1" x14ac:dyDescent="0.2">
      <c r="A188" s="104" t="s">
        <v>274</v>
      </c>
      <c r="B188" s="167" t="s">
        <v>275</v>
      </c>
      <c r="C188" s="24">
        <f>+[12]BS17A!$D1200</f>
        <v>0</v>
      </c>
      <c r="D188" s="25">
        <f>+[12]BS17A!$U1200</f>
        <v>230810</v>
      </c>
      <c r="E188" s="146">
        <f>+[12]BS17A!$V1200</f>
        <v>0</v>
      </c>
      <c r="F188" s="8"/>
    </row>
    <row r="189" spans="1:6" ht="24.75" customHeight="1" x14ac:dyDescent="0.2">
      <c r="A189" s="104" t="s">
        <v>276</v>
      </c>
      <c r="B189" s="156" t="s">
        <v>277</v>
      </c>
      <c r="C189" s="24">
        <f>+[12]BS17A!$D1201</f>
        <v>0</v>
      </c>
      <c r="D189" s="25">
        <f>+[12]BS17A!$U1201</f>
        <v>1689070</v>
      </c>
      <c r="E189" s="146">
        <f>+[12]BS17A!$V1201</f>
        <v>0</v>
      </c>
      <c r="F189" s="8"/>
    </row>
    <row r="190" spans="1:6" ht="12.75" customHeight="1" x14ac:dyDescent="0.2">
      <c r="A190" s="104" t="s">
        <v>278</v>
      </c>
      <c r="B190" s="156" t="s">
        <v>279</v>
      </c>
      <c r="C190" s="24">
        <f>+[12]BS17A!$D1202</f>
        <v>0</v>
      </c>
      <c r="D190" s="25">
        <f>+[12]BS17A!$U1202</f>
        <v>1054990</v>
      </c>
      <c r="E190" s="146">
        <f>+[12]BS17A!$V1202</f>
        <v>0</v>
      </c>
      <c r="F190" s="8"/>
    </row>
    <row r="191" spans="1:6" ht="12.75" customHeight="1" x14ac:dyDescent="0.2">
      <c r="A191" s="22" t="s">
        <v>280</v>
      </c>
      <c r="B191" s="156" t="s">
        <v>281</v>
      </c>
      <c r="C191" s="24">
        <f>+[12]BS17A!$D1203</f>
        <v>0</v>
      </c>
      <c r="D191" s="25">
        <f>+[12]BS17A!$U1203</f>
        <v>1021110</v>
      </c>
      <c r="E191" s="146">
        <f>+[12]BS17A!$V1203</f>
        <v>0</v>
      </c>
      <c r="F191" s="8"/>
    </row>
    <row r="192" spans="1:6" ht="24.75" customHeight="1" x14ac:dyDescent="0.2">
      <c r="A192" s="104" t="s">
        <v>282</v>
      </c>
      <c r="B192" s="156" t="s">
        <v>283</v>
      </c>
      <c r="C192" s="24">
        <f>+[12]BS17A!$D1204</f>
        <v>0</v>
      </c>
      <c r="D192" s="25">
        <f>+[12]BS17A!$U1204</f>
        <v>1069740</v>
      </c>
      <c r="E192" s="146">
        <f>+[12]BS17A!$V1204</f>
        <v>0</v>
      </c>
      <c r="F192" s="8"/>
    </row>
    <row r="193" spans="1:6" ht="12.75" customHeight="1" x14ac:dyDescent="0.2">
      <c r="A193" s="22" t="s">
        <v>284</v>
      </c>
      <c r="B193" s="156" t="s">
        <v>285</v>
      </c>
      <c r="C193" s="24">
        <f>+[12]BS17A!$D1205</f>
        <v>0</v>
      </c>
      <c r="D193" s="25">
        <f>+[12]BS17A!$U1205</f>
        <v>151380</v>
      </c>
      <c r="E193" s="146">
        <f>+[12]BS17A!$V1205</f>
        <v>0</v>
      </c>
      <c r="F193" s="8"/>
    </row>
    <row r="194" spans="1:6" ht="12.75" customHeight="1" x14ac:dyDescent="0.2">
      <c r="A194" s="22" t="s">
        <v>286</v>
      </c>
      <c r="B194" s="156" t="s">
        <v>287</v>
      </c>
      <c r="C194" s="24">
        <f>+[12]BS17A!$D1206</f>
        <v>0</v>
      </c>
      <c r="D194" s="25">
        <f>+[12]BS17A!$U1206</f>
        <v>345440</v>
      </c>
      <c r="E194" s="146">
        <f>+[12]BS17A!$V1206</f>
        <v>0</v>
      </c>
      <c r="F194" s="8"/>
    </row>
    <row r="195" spans="1:6" ht="12.75" customHeight="1" x14ac:dyDescent="0.2">
      <c r="A195" s="104" t="s">
        <v>288</v>
      </c>
      <c r="B195" s="156" t="s">
        <v>289</v>
      </c>
      <c r="C195" s="24">
        <f>+[12]BS17A!$D1207</f>
        <v>0</v>
      </c>
      <c r="D195" s="25">
        <f>+[12]BS17A!$U1207</f>
        <v>128060</v>
      </c>
      <c r="E195" s="146">
        <f>+[12]BS17A!$V1207</f>
        <v>0</v>
      </c>
      <c r="F195" s="8"/>
    </row>
    <row r="196" spans="1:6" ht="12.75" customHeight="1" x14ac:dyDescent="0.2">
      <c r="A196" s="104" t="s">
        <v>290</v>
      </c>
      <c r="B196" s="156" t="s">
        <v>291</v>
      </c>
      <c r="C196" s="24">
        <f>+[12]BS17A!$D1208</f>
        <v>0</v>
      </c>
      <c r="D196" s="25">
        <f>+[12]BS17A!$U1208</f>
        <v>1037610</v>
      </c>
      <c r="E196" s="146">
        <f>+[12]BS17A!$V1208</f>
        <v>0</v>
      </c>
      <c r="F196" s="8"/>
    </row>
    <row r="197" spans="1:6" ht="12.75" customHeight="1" x14ac:dyDescent="0.2">
      <c r="A197" s="104" t="s">
        <v>292</v>
      </c>
      <c r="B197" s="156" t="s">
        <v>293</v>
      </c>
      <c r="C197" s="24">
        <f>+[12]BS17A!$D1209</f>
        <v>0</v>
      </c>
      <c r="D197" s="25">
        <f>+[12]BS17A!$U1209</f>
        <v>1037610</v>
      </c>
      <c r="E197" s="146">
        <f>+[12]BS17A!$V1209</f>
        <v>0</v>
      </c>
      <c r="F197" s="8"/>
    </row>
    <row r="198" spans="1:6" ht="12.75" customHeight="1" x14ac:dyDescent="0.2">
      <c r="A198" s="104">
        <v>1801001</v>
      </c>
      <c r="B198" s="166" t="s">
        <v>294</v>
      </c>
      <c r="C198" s="24">
        <f>+[12]BS17A!$D1343</f>
        <v>16</v>
      </c>
      <c r="D198" s="25">
        <f>+[12]BS17A!$U1343</f>
        <v>30950</v>
      </c>
      <c r="E198" s="146">
        <f>+[12]BS17A!$V1343</f>
        <v>495200</v>
      </c>
      <c r="F198" s="8"/>
    </row>
    <row r="199" spans="1:6" ht="12.75" customHeight="1" x14ac:dyDescent="0.2">
      <c r="A199" s="104">
        <v>1801003</v>
      </c>
      <c r="B199" s="156" t="s">
        <v>295</v>
      </c>
      <c r="C199" s="24">
        <f>+[12]BS17A!$D1344</f>
        <v>0</v>
      </c>
      <c r="D199" s="25">
        <f>+[12]BS17A!$U1344</f>
        <v>37330</v>
      </c>
      <c r="E199" s="146">
        <f>+[12]BS17A!$V1344</f>
        <v>0</v>
      </c>
      <c r="F199" s="8"/>
    </row>
    <row r="200" spans="1:6" ht="12.75" customHeight="1" x14ac:dyDescent="0.2">
      <c r="A200" s="104">
        <v>1801006</v>
      </c>
      <c r="B200" s="166" t="s">
        <v>296</v>
      </c>
      <c r="C200" s="24">
        <f>+[12]BS17A!$D1345</f>
        <v>2</v>
      </c>
      <c r="D200" s="25">
        <f>+[12]BS17A!$U1345</f>
        <v>39760</v>
      </c>
      <c r="E200" s="146">
        <f>+[12]BS17A!$V1345</f>
        <v>79520</v>
      </c>
      <c r="F200" s="8"/>
    </row>
    <row r="201" spans="1:6" ht="24.75" customHeight="1" x14ac:dyDescent="0.2">
      <c r="A201" s="104" t="s">
        <v>297</v>
      </c>
      <c r="B201" s="166" t="s">
        <v>298</v>
      </c>
      <c r="C201" s="24">
        <f>[12]BS17A!D1032</f>
        <v>0</v>
      </c>
      <c r="D201" s="25">
        <f>[12]BS17A!U1032</f>
        <v>8370</v>
      </c>
      <c r="E201" s="146">
        <f>[12]BS17A!V1032</f>
        <v>0</v>
      </c>
      <c r="F201" s="8"/>
    </row>
    <row r="202" spans="1:6" ht="24.75" customHeight="1" x14ac:dyDescent="0.2">
      <c r="A202" s="168" t="s">
        <v>299</v>
      </c>
      <c r="B202" s="169" t="s">
        <v>300</v>
      </c>
      <c r="C202" s="88">
        <f>[12]BS17A!D803</f>
        <v>0</v>
      </c>
      <c r="D202" s="170">
        <f>[12]BS17A!U803</f>
        <v>355150</v>
      </c>
      <c r="E202" s="171">
        <f>[12]BS17A!V803</f>
        <v>0</v>
      </c>
      <c r="F202" s="8"/>
    </row>
    <row r="203" spans="1:6" ht="17.25" customHeight="1" x14ac:dyDescent="0.2">
      <c r="A203" s="130"/>
      <c r="B203" s="131" t="s">
        <v>301</v>
      </c>
      <c r="C203" s="44">
        <f>SUM(C172:C202)</f>
        <v>815</v>
      </c>
      <c r="D203" s="151"/>
      <c r="E203" s="152">
        <f>SUM(E172:E202)</f>
        <v>6522280</v>
      </c>
      <c r="F203" s="8"/>
    </row>
    <row r="204" spans="1:6" ht="21.75" customHeight="1" x14ac:dyDescent="0.2">
      <c r="A204" s="8"/>
      <c r="B204" s="8"/>
      <c r="C204" s="8"/>
      <c r="D204" s="8"/>
      <c r="E204" s="8"/>
      <c r="F204" s="8"/>
    </row>
    <row r="205" spans="1:6" ht="19.5" customHeight="1" x14ac:dyDescent="0.2">
      <c r="A205" s="8"/>
      <c r="B205" s="8"/>
      <c r="C205" s="8"/>
      <c r="D205" s="8"/>
      <c r="E205" s="8"/>
      <c r="F205" s="8"/>
    </row>
    <row r="206" spans="1:6" ht="18" customHeight="1" x14ac:dyDescent="0.2">
      <c r="A206" s="256" t="s">
        <v>302</v>
      </c>
      <c r="B206" s="252"/>
      <c r="C206" s="252"/>
      <c r="D206" s="252"/>
      <c r="E206" s="253"/>
      <c r="F206" s="5"/>
    </row>
    <row r="207" spans="1:6" ht="39.75" customHeight="1" x14ac:dyDescent="0.2">
      <c r="A207" s="11" t="s">
        <v>8</v>
      </c>
      <c r="B207" s="11" t="s">
        <v>9</v>
      </c>
      <c r="C207" s="12" t="s">
        <v>10</v>
      </c>
      <c r="D207" s="13" t="s">
        <v>11</v>
      </c>
      <c r="E207" s="14" t="s">
        <v>12</v>
      </c>
      <c r="F207" s="5"/>
    </row>
    <row r="208" spans="1:6" ht="12.75" customHeight="1" x14ac:dyDescent="0.2">
      <c r="A208" s="17" t="s">
        <v>303</v>
      </c>
      <c r="B208" s="42" t="s">
        <v>304</v>
      </c>
      <c r="C208" s="19">
        <f>+[12]BS17A!$D18</f>
        <v>0</v>
      </c>
      <c r="D208" s="37">
        <f>+[12]BS17A!$U18</f>
        <v>12950</v>
      </c>
      <c r="E208" s="145">
        <f>+[12]BS17A!$V18</f>
        <v>0</v>
      </c>
      <c r="F208" s="8"/>
    </row>
    <row r="209" spans="1:6" ht="12.75" customHeight="1" x14ac:dyDescent="0.2">
      <c r="A209" s="22" t="s">
        <v>305</v>
      </c>
      <c r="B209" s="23" t="s">
        <v>306</v>
      </c>
      <c r="C209" s="24">
        <f>+[12]BS17A!$D19</f>
        <v>63</v>
      </c>
      <c r="D209" s="25">
        <f>+[12]BS17A!$U19</f>
        <v>12950</v>
      </c>
      <c r="E209" s="146">
        <f>+[12]BS17A!$V19</f>
        <v>815850</v>
      </c>
      <c r="F209" s="8"/>
    </row>
    <row r="210" spans="1:6" ht="12.75" customHeight="1" x14ac:dyDescent="0.2">
      <c r="A210" s="22" t="s">
        <v>307</v>
      </c>
      <c r="B210" s="28" t="s">
        <v>308</v>
      </c>
      <c r="C210" s="24">
        <f>+[12]BS17A!$D47</f>
        <v>0</v>
      </c>
      <c r="D210" s="25">
        <f>+[12]BS17A!$U47</f>
        <v>1240</v>
      </c>
      <c r="E210" s="146">
        <f>+[12]BS17A!$V47</f>
        <v>0</v>
      </c>
      <c r="F210" s="8"/>
    </row>
    <row r="211" spans="1:6" ht="12.75" customHeight="1" x14ac:dyDescent="0.2">
      <c r="A211" s="22" t="s">
        <v>309</v>
      </c>
      <c r="B211" s="28" t="s">
        <v>310</v>
      </c>
      <c r="C211" s="24">
        <f>+[12]BS17A!$D48</f>
        <v>454</v>
      </c>
      <c r="D211" s="25">
        <f>+[12]BS17A!$U48</f>
        <v>600</v>
      </c>
      <c r="E211" s="146">
        <f>+[12]BS17A!$V48</f>
        <v>272400</v>
      </c>
      <c r="F211" s="8"/>
    </row>
    <row r="212" spans="1:6" ht="12.75" customHeight="1" x14ac:dyDescent="0.2">
      <c r="A212" s="22" t="s">
        <v>311</v>
      </c>
      <c r="B212" s="23" t="s">
        <v>312</v>
      </c>
      <c r="C212" s="24">
        <f>+[12]BS17A!$D49</f>
        <v>641</v>
      </c>
      <c r="D212" s="25">
        <f>+[12]BS17A!$U49</f>
        <v>1840</v>
      </c>
      <c r="E212" s="146">
        <f>+[12]BS17A!$V49</f>
        <v>1179440</v>
      </c>
      <c r="F212" s="8"/>
    </row>
    <row r="213" spans="1:6" ht="12.75" customHeight="1" x14ac:dyDescent="0.2">
      <c r="A213" s="22" t="s">
        <v>313</v>
      </c>
      <c r="B213" s="23" t="s">
        <v>314</v>
      </c>
      <c r="C213" s="24">
        <f>+[12]BS17A!$D50</f>
        <v>43</v>
      </c>
      <c r="D213" s="25">
        <f>+[12]BS17A!$U50</f>
        <v>13790</v>
      </c>
      <c r="E213" s="146">
        <f>+[12]BS17A!$V50</f>
        <v>592970</v>
      </c>
      <c r="F213" s="8"/>
    </row>
    <row r="214" spans="1:6" ht="12.75" customHeight="1" x14ac:dyDescent="0.2">
      <c r="A214" s="22" t="s">
        <v>315</v>
      </c>
      <c r="B214" s="28" t="s">
        <v>316</v>
      </c>
      <c r="C214" s="24">
        <f>+[12]BS17A!$D51</f>
        <v>62</v>
      </c>
      <c r="D214" s="25">
        <f>+[12]BS17A!$U51</f>
        <v>31670</v>
      </c>
      <c r="E214" s="146">
        <f>+[12]BS17A!$V51</f>
        <v>1963540</v>
      </c>
      <c r="F214" s="8"/>
    </row>
    <row r="215" spans="1:6" ht="12.75" customHeight="1" x14ac:dyDescent="0.2">
      <c r="A215" s="104" t="s">
        <v>317</v>
      </c>
      <c r="B215" s="28" t="s">
        <v>318</v>
      </c>
      <c r="C215" s="24">
        <f>+[12]BS17A!D52</f>
        <v>19</v>
      </c>
      <c r="D215" s="172"/>
      <c r="E215" s="146">
        <f>+[12]BS17A!V52</f>
        <v>150100</v>
      </c>
      <c r="F215" s="8"/>
    </row>
    <row r="216" spans="1:6" ht="12.75" customHeight="1" x14ac:dyDescent="0.2">
      <c r="A216" s="29" t="s">
        <v>319</v>
      </c>
      <c r="B216" s="43" t="s">
        <v>320</v>
      </c>
      <c r="C216" s="31">
        <f>+[12]BS17A!$D1849</f>
        <v>27</v>
      </c>
      <c r="D216" s="40">
        <f>+[12]BS17A!$U1849</f>
        <v>25670</v>
      </c>
      <c r="E216" s="153">
        <f>+[12]BS17A!$V1849</f>
        <v>693090</v>
      </c>
      <c r="F216" s="8"/>
    </row>
    <row r="217" spans="1:6" ht="12.75" x14ac:dyDescent="0.2">
      <c r="A217" s="130"/>
      <c r="B217" s="131" t="s">
        <v>321</v>
      </c>
      <c r="C217" s="44">
        <f>SUM(C208:C216)</f>
        <v>1309</v>
      </c>
      <c r="D217" s="151"/>
      <c r="E217" s="171">
        <f>SUM(E208:E216)</f>
        <v>5667390</v>
      </c>
      <c r="F217" s="8"/>
    </row>
    <row r="218" spans="1:6" ht="17.25" customHeight="1" x14ac:dyDescent="0.2">
      <c r="A218" s="8"/>
      <c r="B218" s="8"/>
      <c r="C218" s="8"/>
      <c r="D218" s="8"/>
      <c r="E218" s="8"/>
      <c r="F218" s="8"/>
    </row>
    <row r="219" spans="1:6" ht="18" customHeight="1" x14ac:dyDescent="0.2">
      <c r="A219" s="8"/>
      <c r="B219" s="8"/>
      <c r="C219" s="8"/>
      <c r="D219" s="8"/>
      <c r="E219" s="8"/>
      <c r="F219" s="8"/>
    </row>
    <row r="220" spans="1:6" ht="27.75" customHeight="1" x14ac:dyDescent="0.2">
      <c r="A220" s="257" t="s">
        <v>322</v>
      </c>
      <c r="B220" s="258"/>
      <c r="C220" s="259"/>
      <c r="D220" s="8"/>
      <c r="E220" s="8"/>
      <c r="F220" s="5"/>
    </row>
    <row r="221" spans="1:6" ht="36.75" customHeight="1" x14ac:dyDescent="0.2">
      <c r="A221" s="11" t="s">
        <v>8</v>
      </c>
      <c r="B221" s="11" t="s">
        <v>10</v>
      </c>
      <c r="C221" s="11" t="s">
        <v>12</v>
      </c>
      <c r="D221" s="5"/>
      <c r="E221" s="8"/>
      <c r="F221" s="8"/>
    </row>
    <row r="222" spans="1:6" ht="15" customHeight="1" x14ac:dyDescent="0.2">
      <c r="A222" s="17" t="s">
        <v>323</v>
      </c>
      <c r="B222" s="173" t="s">
        <v>324</v>
      </c>
      <c r="C222" s="174"/>
      <c r="D222" s="175"/>
      <c r="E222" s="8"/>
      <c r="F222" s="8"/>
    </row>
    <row r="223" spans="1:6" ht="15" customHeight="1" x14ac:dyDescent="0.2">
      <c r="A223" s="176" t="s">
        <v>325</v>
      </c>
      <c r="B223" s="177" t="s">
        <v>326</v>
      </c>
      <c r="C223" s="178"/>
      <c r="D223" s="175"/>
      <c r="E223" s="8"/>
      <c r="F223" s="8"/>
    </row>
    <row r="224" spans="1:6" ht="18" customHeight="1" x14ac:dyDescent="0.2">
      <c r="A224" s="179"/>
      <c r="B224" s="180" t="s">
        <v>327</v>
      </c>
      <c r="C224" s="181">
        <f>SUM(C222:C223)</f>
        <v>0</v>
      </c>
      <c r="D224" s="175"/>
      <c r="E224" s="8"/>
      <c r="F224" s="8"/>
    </row>
    <row r="225" spans="1:7" ht="18" customHeight="1" x14ac:dyDescent="0.2">
      <c r="A225" s="8"/>
      <c r="B225" s="8"/>
      <c r="C225" s="8"/>
      <c r="D225" s="175"/>
      <c r="E225" s="175"/>
      <c r="F225" s="175"/>
    </row>
    <row r="226" spans="1:7" ht="18" customHeight="1" x14ac:dyDescent="0.2">
      <c r="A226" s="8"/>
      <c r="B226" s="8"/>
      <c r="C226" s="8"/>
      <c r="D226" s="8"/>
      <c r="E226" s="8"/>
      <c r="F226" s="175"/>
      <c r="G226" s="182"/>
    </row>
    <row r="227" spans="1:7" ht="18" customHeight="1" x14ac:dyDescent="0.2">
      <c r="A227" s="256" t="s">
        <v>328</v>
      </c>
      <c r="B227" s="252"/>
      <c r="C227" s="252"/>
      <c r="D227" s="252"/>
      <c r="E227" s="253"/>
      <c r="F227" s="175"/>
      <c r="G227" s="182"/>
    </row>
    <row r="228" spans="1:7" ht="64.5" customHeight="1" x14ac:dyDescent="0.2">
      <c r="A228" s="11" t="s">
        <v>8</v>
      </c>
      <c r="B228" s="11" t="s">
        <v>9</v>
      </c>
      <c r="C228" s="12" t="s">
        <v>10</v>
      </c>
      <c r="D228" s="13" t="s">
        <v>11</v>
      </c>
      <c r="E228" s="14" t="s">
        <v>12</v>
      </c>
      <c r="F228" s="175"/>
      <c r="G228" s="182"/>
    </row>
    <row r="229" spans="1:7" ht="15" customHeight="1" x14ac:dyDescent="0.2">
      <c r="A229" s="17" t="s">
        <v>329</v>
      </c>
      <c r="B229" s="42" t="s">
        <v>330</v>
      </c>
      <c r="C229" s="154">
        <f>+[12]BS17A!$D1920</f>
        <v>487</v>
      </c>
      <c r="D229" s="37">
        <f>+[12]BS17A!$U1920</f>
        <v>17720</v>
      </c>
      <c r="E229" s="145">
        <f>+[12]BS17A!$V1920</f>
        <v>8629640</v>
      </c>
      <c r="F229" s="8"/>
    </row>
    <row r="230" spans="1:7" ht="15" customHeight="1" x14ac:dyDescent="0.2">
      <c r="A230" s="29" t="s">
        <v>331</v>
      </c>
      <c r="B230" s="43" t="s">
        <v>332</v>
      </c>
      <c r="C230" s="158">
        <f>+[12]BS17A!$D1921</f>
        <v>0</v>
      </c>
      <c r="D230" s="40">
        <f>+[12]BS17A!$U1921</f>
        <v>222170</v>
      </c>
      <c r="E230" s="153">
        <f>+[12]BS17A!$V1921</f>
        <v>0</v>
      </c>
      <c r="F230" s="8"/>
    </row>
    <row r="231" spans="1:7" ht="18" customHeight="1" x14ac:dyDescent="0.2">
      <c r="A231" s="130"/>
      <c r="B231" s="131" t="s">
        <v>333</v>
      </c>
      <c r="C231" s="44">
        <f>SUM(C229:C230)</f>
        <v>487</v>
      </c>
      <c r="D231" s="151"/>
      <c r="E231" s="152">
        <f>SUM(E229:E230)</f>
        <v>8629640</v>
      </c>
      <c r="F231" s="8"/>
    </row>
    <row r="232" spans="1:7" ht="18" customHeight="1" x14ac:dyDescent="0.2">
      <c r="A232" s="183"/>
      <c r="B232" s="184"/>
      <c r="C232" s="185"/>
      <c r="D232" s="183"/>
      <c r="E232" s="183"/>
      <c r="F232" s="8"/>
    </row>
    <row r="233" spans="1:7" ht="18" customHeight="1" x14ac:dyDescent="0.2">
      <c r="A233" s="183"/>
      <c r="B233" s="184"/>
      <c r="C233" s="185"/>
      <c r="D233" s="183"/>
      <c r="E233" s="183"/>
      <c r="F233" s="8"/>
    </row>
    <row r="234" spans="1:7" ht="18" customHeight="1" x14ac:dyDescent="0.2">
      <c r="A234" s="251" t="s">
        <v>334</v>
      </c>
      <c r="B234" s="252"/>
      <c r="C234" s="252"/>
      <c r="D234" s="252"/>
      <c r="E234" s="253"/>
      <c r="F234" s="8"/>
    </row>
    <row r="235" spans="1:7" ht="38.25" x14ac:dyDescent="0.2">
      <c r="A235" s="11" t="s">
        <v>8</v>
      </c>
      <c r="B235" s="11" t="s">
        <v>9</v>
      </c>
      <c r="C235" s="12" t="s">
        <v>10</v>
      </c>
      <c r="D235" s="13" t="s">
        <v>11</v>
      </c>
      <c r="E235" s="14" t="s">
        <v>12</v>
      </c>
      <c r="F235" s="8"/>
    </row>
    <row r="236" spans="1:7" ht="18" customHeight="1" x14ac:dyDescent="0.2">
      <c r="A236" s="142" t="s">
        <v>335</v>
      </c>
      <c r="B236" s="186" t="s">
        <v>336</v>
      </c>
      <c r="C236" s="187">
        <f>[12]BS17A!D764</f>
        <v>313</v>
      </c>
      <c r="D236" s="188"/>
      <c r="E236" s="189">
        <f>[12]BS17A!V764</f>
        <v>2080050</v>
      </c>
      <c r="F236" s="8"/>
    </row>
    <row r="237" spans="1:7" ht="18" customHeight="1" x14ac:dyDescent="0.2">
      <c r="A237" s="183"/>
      <c r="B237" s="184"/>
      <c r="C237" s="185"/>
      <c r="D237" s="183"/>
      <c r="E237" s="183"/>
      <c r="F237" s="8"/>
    </row>
    <row r="238" spans="1:7" ht="18" customHeight="1" x14ac:dyDescent="0.2">
      <c r="A238" s="251" t="s">
        <v>337</v>
      </c>
      <c r="B238" s="254"/>
      <c r="C238" s="254"/>
      <c r="D238" s="254"/>
      <c r="E238" s="255"/>
      <c r="F238" s="8"/>
    </row>
    <row r="239" spans="1:7" ht="41.25" customHeight="1" x14ac:dyDescent="0.2">
      <c r="A239" s="11" t="s">
        <v>8</v>
      </c>
      <c r="B239" s="12" t="s">
        <v>338</v>
      </c>
      <c r="C239" s="100" t="s">
        <v>339</v>
      </c>
      <c r="D239" s="13" t="s">
        <v>11</v>
      </c>
      <c r="E239" s="14" t="s">
        <v>12</v>
      </c>
      <c r="F239" s="8"/>
    </row>
    <row r="240" spans="1:7" ht="15" customHeight="1" x14ac:dyDescent="0.2">
      <c r="A240" s="190" t="s">
        <v>340</v>
      </c>
      <c r="B240" s="191" t="s">
        <v>341</v>
      </c>
      <c r="C240" s="19">
        <f>+[12]BS17A!$D1923</f>
        <v>0</v>
      </c>
      <c r="D240" s="37">
        <f>+[12]BS17A!$U1923</f>
        <v>226920</v>
      </c>
      <c r="E240" s="145">
        <f>+[12]BS17A!$V1923</f>
        <v>0</v>
      </c>
      <c r="F240" s="8"/>
    </row>
    <row r="241" spans="1:6" ht="15" customHeight="1" x14ac:dyDescent="0.2">
      <c r="A241" s="192" t="s">
        <v>342</v>
      </c>
      <c r="B241" s="193" t="s">
        <v>343</v>
      </c>
      <c r="C241" s="24">
        <f>+[12]BS17A!$D1924</f>
        <v>0</v>
      </c>
      <c r="D241" s="25">
        <f>+[12]BS17A!$U1924</f>
        <v>32250</v>
      </c>
      <c r="E241" s="146">
        <f>+[12]BS17A!$V1924</f>
        <v>0</v>
      </c>
      <c r="F241" s="8"/>
    </row>
    <row r="242" spans="1:6" ht="15" customHeight="1" x14ac:dyDescent="0.2">
      <c r="A242" s="192" t="s">
        <v>344</v>
      </c>
      <c r="B242" s="193" t="s">
        <v>345</v>
      </c>
      <c r="C242" s="24">
        <f>+[12]BS17A!$D1925</f>
        <v>0</v>
      </c>
      <c r="D242" s="25">
        <f>+[12]BS17A!$U1925</f>
        <v>121620</v>
      </c>
      <c r="E242" s="146">
        <f>+[12]BS17A!$V1925</f>
        <v>0</v>
      </c>
      <c r="F242" s="8"/>
    </row>
    <row r="243" spans="1:6" ht="15" customHeight="1" x14ac:dyDescent="0.2">
      <c r="A243" s="192" t="s">
        <v>346</v>
      </c>
      <c r="B243" s="193" t="s">
        <v>347</v>
      </c>
      <c r="C243" s="24">
        <f>+[12]BS17A!$D1926</f>
        <v>0</v>
      </c>
      <c r="D243" s="25">
        <f>+[12]BS17A!$U1926</f>
        <v>121620</v>
      </c>
      <c r="E243" s="146">
        <f>+[12]BS17A!$V1926</f>
        <v>0</v>
      </c>
      <c r="F243" s="8"/>
    </row>
    <row r="244" spans="1:6" ht="15" customHeight="1" x14ac:dyDescent="0.2">
      <c r="A244" s="192" t="s">
        <v>348</v>
      </c>
      <c r="B244" s="193" t="s">
        <v>349</v>
      </c>
      <c r="C244" s="24">
        <f>+[12]BS17A!$D1927</f>
        <v>0</v>
      </c>
      <c r="D244" s="25">
        <f>+[12]BS17A!$U1927</f>
        <v>221430</v>
      </c>
      <c r="E244" s="146">
        <f>+[12]BS17A!$V1927</f>
        <v>0</v>
      </c>
      <c r="F244" s="8"/>
    </row>
    <row r="245" spans="1:6" ht="15" customHeight="1" x14ac:dyDescent="0.2">
      <c r="A245" s="192" t="s">
        <v>350</v>
      </c>
      <c r="B245" s="193" t="s">
        <v>351</v>
      </c>
      <c r="C245" s="24">
        <f>+[12]BS17A!$D1928</f>
        <v>0</v>
      </c>
      <c r="D245" s="25">
        <f>+[12]BS17A!$U1928</f>
        <v>339820</v>
      </c>
      <c r="E245" s="146">
        <f>+[12]BS17A!$V1928</f>
        <v>0</v>
      </c>
      <c r="F245" s="8"/>
    </row>
    <row r="246" spans="1:6" ht="15" customHeight="1" x14ac:dyDescent="0.2">
      <c r="A246" s="192" t="s">
        <v>352</v>
      </c>
      <c r="B246" s="193" t="s">
        <v>353</v>
      </c>
      <c r="C246" s="24">
        <f>+[12]BS17A!$D1929</f>
        <v>0</v>
      </c>
      <c r="D246" s="25">
        <f>+[12]BS17A!$U1929</f>
        <v>579700</v>
      </c>
      <c r="E246" s="146">
        <f>+[12]BS17A!$V1929</f>
        <v>0</v>
      </c>
      <c r="F246" s="8"/>
    </row>
    <row r="247" spans="1:6" ht="15" customHeight="1" x14ac:dyDescent="0.2">
      <c r="A247" s="194" t="s">
        <v>354</v>
      </c>
      <c r="B247" s="193" t="s">
        <v>355</v>
      </c>
      <c r="C247" s="24">
        <f>+[12]BS17A!$D1930</f>
        <v>0</v>
      </c>
      <c r="D247" s="25">
        <f>+[12]BS17A!$U1930</f>
        <v>120740</v>
      </c>
      <c r="E247" s="146">
        <f>+[12]BS17A!$V1930</f>
        <v>0</v>
      </c>
      <c r="F247" s="8"/>
    </row>
    <row r="248" spans="1:6" ht="15" customHeight="1" x14ac:dyDescent="0.2">
      <c r="A248" s="194" t="s">
        <v>356</v>
      </c>
      <c r="B248" s="193" t="s">
        <v>357</v>
      </c>
      <c r="C248" s="24">
        <f>+[12]BS17A!$D1931</f>
        <v>0</v>
      </c>
      <c r="D248" s="25">
        <f>+[12]BS17A!$U1931</f>
        <v>325420</v>
      </c>
      <c r="E248" s="146">
        <f>+[12]BS17A!$V1931</f>
        <v>0</v>
      </c>
      <c r="F248" s="8"/>
    </row>
    <row r="249" spans="1:6" ht="15" customHeight="1" x14ac:dyDescent="0.2">
      <c r="A249" s="194" t="s">
        <v>358</v>
      </c>
      <c r="B249" s="193" t="s">
        <v>359</v>
      </c>
      <c r="C249" s="66">
        <f>+[12]BS17A!$D1932</f>
        <v>0</v>
      </c>
      <c r="D249" s="32">
        <f>+[12]BS17A!$U1932</f>
        <v>137020</v>
      </c>
      <c r="E249" s="195">
        <f>+[12]BS17A!$V1932</f>
        <v>0</v>
      </c>
      <c r="F249" s="8"/>
    </row>
    <row r="250" spans="1:6" ht="15" customHeight="1" x14ac:dyDescent="0.2">
      <c r="A250" s="194" t="s">
        <v>360</v>
      </c>
      <c r="B250" s="193" t="s">
        <v>361</v>
      </c>
      <c r="C250" s="66">
        <f>+[12]BS17A!$D1933</f>
        <v>0</v>
      </c>
      <c r="D250" s="32">
        <f>+[12]BS17A!$U1933</f>
        <v>119070</v>
      </c>
      <c r="E250" s="195">
        <f>+[12]BS17A!$V1933</f>
        <v>0</v>
      </c>
      <c r="F250" s="8"/>
    </row>
    <row r="251" spans="1:6" ht="15" customHeight="1" x14ac:dyDescent="0.2">
      <c r="A251" s="194" t="s">
        <v>362</v>
      </c>
      <c r="B251" s="193" t="s">
        <v>363</v>
      </c>
      <c r="C251" s="66">
        <f>+[12]BS17A!$D1934</f>
        <v>0</v>
      </c>
      <c r="D251" s="32">
        <f>+[12]BS17A!$U1934</f>
        <v>181020</v>
      </c>
      <c r="E251" s="195">
        <f>+[12]BS17A!$V1934</f>
        <v>0</v>
      </c>
      <c r="F251" s="8"/>
    </row>
    <row r="252" spans="1:6" ht="15" customHeight="1" x14ac:dyDescent="0.2">
      <c r="A252" s="194" t="s">
        <v>364</v>
      </c>
      <c r="B252" s="193" t="s">
        <v>365</v>
      </c>
      <c r="C252" s="66">
        <f>+[12]BS17A!$D1935</f>
        <v>0</v>
      </c>
      <c r="D252" s="32">
        <f>+[12]BS17A!$U1935</f>
        <v>47640</v>
      </c>
      <c r="E252" s="195">
        <f>+[12]BS17A!$V1935</f>
        <v>0</v>
      </c>
      <c r="F252" s="8"/>
    </row>
    <row r="253" spans="1:6" ht="15" customHeight="1" x14ac:dyDescent="0.2">
      <c r="A253" s="196" t="s">
        <v>366</v>
      </c>
      <c r="B253" s="197" t="s">
        <v>367</v>
      </c>
      <c r="C253" s="31">
        <f>+[12]BS17A!$D1936</f>
        <v>0</v>
      </c>
      <c r="D253" s="40">
        <f>+[12]BS17A!$U1936</f>
        <v>35600</v>
      </c>
      <c r="E253" s="153">
        <f>+[12]BS17A!$V1936</f>
        <v>0</v>
      </c>
      <c r="F253" s="8"/>
    </row>
    <row r="254" spans="1:6" ht="15" customHeight="1" x14ac:dyDescent="0.2">
      <c r="A254" s="242" t="s">
        <v>368</v>
      </c>
      <c r="B254" s="243"/>
      <c r="C254" s="243"/>
      <c r="D254" s="243"/>
      <c r="E254" s="244"/>
      <c r="F254" s="8"/>
    </row>
    <row r="255" spans="1:6" ht="15" customHeight="1" x14ac:dyDescent="0.2">
      <c r="A255" s="17" t="s">
        <v>369</v>
      </c>
      <c r="B255" s="198" t="s">
        <v>341</v>
      </c>
      <c r="C255" s="19">
        <f>+[12]BS17A!$D1937</f>
        <v>0</v>
      </c>
      <c r="D255" s="37">
        <f>+[12]BS17A!$U1937</f>
        <v>195210</v>
      </c>
      <c r="E255" s="145">
        <f>+[12]BS17A!$V1937</f>
        <v>0</v>
      </c>
      <c r="F255" s="8"/>
    </row>
    <row r="256" spans="1:6" ht="15" customHeight="1" x14ac:dyDescent="0.2">
      <c r="A256" s="22" t="s">
        <v>370</v>
      </c>
      <c r="B256" s="34" t="s">
        <v>371</v>
      </c>
      <c r="C256" s="24">
        <f>+[12]BS17A!$D1938</f>
        <v>0</v>
      </c>
      <c r="D256" s="25">
        <f>+[12]BS17A!$U1938</f>
        <v>1161300</v>
      </c>
      <c r="E256" s="146">
        <f>+[12]BS17A!$V1938</f>
        <v>0</v>
      </c>
      <c r="F256" s="8"/>
    </row>
    <row r="257" spans="1:6" ht="15" customHeight="1" x14ac:dyDescent="0.2">
      <c r="A257" s="22" t="s">
        <v>372</v>
      </c>
      <c r="B257" s="34" t="s">
        <v>373</v>
      </c>
      <c r="C257" s="24">
        <f>+[12]BS17A!$D1939</f>
        <v>0</v>
      </c>
      <c r="D257" s="25">
        <f>+[12]BS17A!$U1939</f>
        <v>175210</v>
      </c>
      <c r="E257" s="146">
        <f>+[12]BS17A!$V1939</f>
        <v>0</v>
      </c>
      <c r="F257" s="8"/>
    </row>
    <row r="258" spans="1:6" ht="15" customHeight="1" x14ac:dyDescent="0.2">
      <c r="A258" s="22" t="s">
        <v>374</v>
      </c>
      <c r="B258" s="34" t="s">
        <v>375</v>
      </c>
      <c r="C258" s="24">
        <f>+[12]BS17A!$D1940</f>
        <v>0</v>
      </c>
      <c r="D258" s="25">
        <f>+[12]BS17A!$U1940</f>
        <v>154940</v>
      </c>
      <c r="E258" s="146">
        <f>+[12]BS17A!$V1940</f>
        <v>0</v>
      </c>
      <c r="F258" s="8"/>
    </row>
    <row r="259" spans="1:6" ht="15" customHeight="1" x14ac:dyDescent="0.2">
      <c r="A259" s="22" t="s">
        <v>376</v>
      </c>
      <c r="B259" s="34" t="s">
        <v>377</v>
      </c>
      <c r="C259" s="24">
        <f>+[12]BS17A!$D1941</f>
        <v>0</v>
      </c>
      <c r="D259" s="25">
        <f>+[12]BS17A!$U1941</f>
        <v>314530</v>
      </c>
      <c r="E259" s="146">
        <f>+[12]BS17A!$V1941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24">
        <f>+[12]BS17A!$D1942</f>
        <v>0</v>
      </c>
      <c r="D260" s="25">
        <f>+[12]BS17A!$U1942</f>
        <v>1045930</v>
      </c>
      <c r="E260" s="146">
        <f>+[12]BS17A!$V1942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24">
        <f>+[12]BS17A!$D1943</f>
        <v>0</v>
      </c>
      <c r="D261" s="25">
        <f>+[12]BS17A!$U1943</f>
        <v>1074870</v>
      </c>
      <c r="E261" s="146">
        <f>+[12]BS17A!$V1943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24">
        <f>+[12]BS17A!$D1944</f>
        <v>0</v>
      </c>
      <c r="D262" s="25">
        <f>+[12]BS17A!$U1944</f>
        <v>851060</v>
      </c>
      <c r="E262" s="146">
        <f>+[12]BS17A!$V1944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24">
        <f>+[12]BS17A!$D1945</f>
        <v>0</v>
      </c>
      <c r="D263" s="25">
        <f>+[12]BS17A!$U1945</f>
        <v>896940</v>
      </c>
      <c r="E263" s="146">
        <f>+[12]BS17A!$V1945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24">
        <f>+[12]BS17A!$D1946</f>
        <v>0</v>
      </c>
      <c r="D264" s="25">
        <f>+[12]BS17A!$U1946</f>
        <v>353830</v>
      </c>
      <c r="E264" s="146">
        <f>+[12]BS17A!$V1946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24">
        <f>+[12]BS17A!$D1947</f>
        <v>0</v>
      </c>
      <c r="D265" s="25">
        <f>+[12]BS17A!$U1947</f>
        <v>84740</v>
      </c>
      <c r="E265" s="146">
        <f>+[12]BS17A!$V1947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24">
        <f>+[12]BS17A!$D1948</f>
        <v>0</v>
      </c>
      <c r="D266" s="25">
        <f>+[12]BS17A!$U1948</f>
        <v>252810</v>
      </c>
      <c r="E266" s="146">
        <f>+[12]BS17A!$V1948</f>
        <v>0</v>
      </c>
      <c r="F266" s="8"/>
    </row>
    <row r="267" spans="1:6" ht="15" customHeight="1" x14ac:dyDescent="0.2">
      <c r="A267" s="22" t="s">
        <v>392</v>
      </c>
      <c r="B267" s="23" t="s">
        <v>393</v>
      </c>
      <c r="C267" s="24">
        <f>+[12]BS17A!$D1949</f>
        <v>0</v>
      </c>
      <c r="D267" s="25">
        <f>+[12]BS17A!$U1949</f>
        <v>71480</v>
      </c>
      <c r="E267" s="146">
        <f>+[12]BS17A!$V1949</f>
        <v>0</v>
      </c>
      <c r="F267" s="8"/>
    </row>
    <row r="268" spans="1:6" ht="15" customHeight="1" x14ac:dyDescent="0.2">
      <c r="A268" s="22" t="s">
        <v>394</v>
      </c>
      <c r="B268" s="23" t="s">
        <v>395</v>
      </c>
      <c r="C268" s="24">
        <f>+[12]BS17A!$D1950</f>
        <v>0</v>
      </c>
      <c r="D268" s="25">
        <f>+[12]BS17A!$U1950</f>
        <v>1228260</v>
      </c>
      <c r="E268" s="146">
        <f>+[12]BS17A!$V1950</f>
        <v>0</v>
      </c>
      <c r="F268" s="8"/>
    </row>
    <row r="269" spans="1:6" ht="15" customHeight="1" x14ac:dyDescent="0.2">
      <c r="A269" s="22" t="s">
        <v>396</v>
      </c>
      <c r="B269" s="23" t="s">
        <v>397</v>
      </c>
      <c r="C269" s="24">
        <f>+[12]BS17A!$D1951</f>
        <v>0</v>
      </c>
      <c r="D269" s="25">
        <f>+[12]BS17A!$U1951</f>
        <v>287200</v>
      </c>
      <c r="E269" s="146">
        <f>+[12]BS17A!$V1951</f>
        <v>0</v>
      </c>
      <c r="F269" s="8"/>
    </row>
    <row r="270" spans="1:6" ht="15" customHeight="1" x14ac:dyDescent="0.2">
      <c r="A270" s="22" t="s">
        <v>398</v>
      </c>
      <c r="B270" s="23" t="s">
        <v>399</v>
      </c>
      <c r="C270" s="24">
        <f>+[12]BS17A!$D1952</f>
        <v>0</v>
      </c>
      <c r="D270" s="25">
        <f>+[12]BS17A!$U1952</f>
        <v>962120</v>
      </c>
      <c r="E270" s="146">
        <f>+[12]BS17A!$V1952</f>
        <v>0</v>
      </c>
      <c r="F270" s="8"/>
    </row>
    <row r="271" spans="1:6" ht="15" customHeight="1" x14ac:dyDescent="0.2">
      <c r="A271" s="22" t="s">
        <v>400</v>
      </c>
      <c r="B271" s="30" t="s">
        <v>401</v>
      </c>
      <c r="C271" s="24">
        <f>+[12]BS17A!$D1953</f>
        <v>0</v>
      </c>
      <c r="D271" s="25">
        <f>+[12]BS17A!$U1953</f>
        <v>589010</v>
      </c>
      <c r="E271" s="146">
        <f>+[12]BS17A!$V1953</f>
        <v>0</v>
      </c>
      <c r="F271" s="8"/>
    </row>
    <row r="272" spans="1:6" ht="15" customHeight="1" x14ac:dyDescent="0.2">
      <c r="A272" s="29" t="s">
        <v>402</v>
      </c>
      <c r="B272" s="30" t="s">
        <v>403</v>
      </c>
      <c r="C272" s="31">
        <f>+[12]BS17A!$D1954</f>
        <v>0</v>
      </c>
      <c r="D272" s="32">
        <f>+[12]BS17A!$U1954</f>
        <v>480670</v>
      </c>
      <c r="E272" s="195">
        <f>+[12]BS17A!$V1954</f>
        <v>0</v>
      </c>
      <c r="F272" s="8"/>
    </row>
    <row r="273" spans="1:10" ht="15" customHeight="1" x14ac:dyDescent="0.2">
      <c r="A273" s="242" t="s">
        <v>404</v>
      </c>
      <c r="B273" s="243"/>
      <c r="C273" s="243"/>
      <c r="D273" s="243"/>
      <c r="E273" s="244"/>
      <c r="F273" s="8"/>
    </row>
    <row r="274" spans="1:10" ht="15" customHeight="1" x14ac:dyDescent="0.2">
      <c r="A274" s="17" t="s">
        <v>405</v>
      </c>
      <c r="B274" s="18" t="s">
        <v>406</v>
      </c>
      <c r="C274" s="70">
        <f>+[12]BS17A!$D1955</f>
        <v>0</v>
      </c>
      <c r="D274" s="20">
        <f>[12]BS17A!U1955</f>
        <v>259110</v>
      </c>
      <c r="E274" s="199">
        <f>+[12]BS17A!$V1955</f>
        <v>0</v>
      </c>
      <c r="F274" s="8"/>
    </row>
    <row r="275" spans="1:10" ht="15" customHeight="1" x14ac:dyDescent="0.2">
      <c r="A275" s="22" t="s">
        <v>407</v>
      </c>
      <c r="B275" s="23" t="s">
        <v>408</v>
      </c>
      <c r="C275" s="24">
        <f>+[12]BS17A!$D1956</f>
        <v>0</v>
      </c>
      <c r="D275" s="25">
        <f>[12]BS17A!U1956</f>
        <v>151070</v>
      </c>
      <c r="E275" s="146">
        <f>+[12]BS17A!$V1956</f>
        <v>0</v>
      </c>
      <c r="F275" s="8"/>
    </row>
    <row r="276" spans="1:10" ht="15" customHeight="1" x14ac:dyDescent="0.2">
      <c r="A276" s="22" t="s">
        <v>409</v>
      </c>
      <c r="B276" s="23" t="s">
        <v>410</v>
      </c>
      <c r="C276" s="24">
        <f>+[12]BS17A!$D1957</f>
        <v>0</v>
      </c>
      <c r="D276" s="25">
        <f>[12]BS17A!U1957</f>
        <v>365020</v>
      </c>
      <c r="E276" s="146">
        <f>+[12]BS17A!$V1957</f>
        <v>0</v>
      </c>
      <c r="F276" s="8"/>
    </row>
    <row r="277" spans="1:10" ht="15" customHeight="1" x14ac:dyDescent="0.2">
      <c r="A277" s="22" t="s">
        <v>411</v>
      </c>
      <c r="B277" s="23" t="s">
        <v>412</v>
      </c>
      <c r="C277" s="24">
        <f>+[12]BS17A!$D1958</f>
        <v>0</v>
      </c>
      <c r="D277" s="25">
        <f>[12]BS17A!U1958</f>
        <v>378270</v>
      </c>
      <c r="E277" s="146">
        <f>+[12]BS17A!$V1958</f>
        <v>0</v>
      </c>
      <c r="F277" s="8"/>
    </row>
    <row r="278" spans="1:10" ht="15" customHeight="1" x14ac:dyDescent="0.2">
      <c r="A278" s="29" t="s">
        <v>413</v>
      </c>
      <c r="B278" s="39" t="s">
        <v>414</v>
      </c>
      <c r="C278" s="31">
        <f>+[12]BS17A!$D1959</f>
        <v>0</v>
      </c>
      <c r="D278" s="40">
        <f>[12]BS17A!U1959</f>
        <v>236360</v>
      </c>
      <c r="E278" s="153">
        <f>+[12]BS17A!$V1959</f>
        <v>0</v>
      </c>
      <c r="F278" s="200"/>
    </row>
    <row r="279" spans="1:10" ht="15" customHeight="1" x14ac:dyDescent="0.2">
      <c r="A279" s="201" t="s">
        <v>415</v>
      </c>
      <c r="B279" s="202" t="s">
        <v>416</v>
      </c>
      <c r="C279" s="203">
        <f>+[12]BS17A!$D1960</f>
        <v>99</v>
      </c>
      <c r="D279" s="204">
        <f>[12]BS17A!U1960</f>
        <v>32140</v>
      </c>
      <c r="E279" s="189">
        <f>+[12]BS17A!$V1960</f>
        <v>3181860</v>
      </c>
      <c r="F279" s="200"/>
    </row>
    <row r="280" spans="1:10" ht="15" customHeight="1" x14ac:dyDescent="0.2">
      <c r="A280" s="130"/>
      <c r="B280" s="205" t="s">
        <v>417</v>
      </c>
      <c r="C280" s="44">
        <f>SUM(C240:C279)</f>
        <v>99</v>
      </c>
      <c r="D280" s="151"/>
      <c r="E280" s="152">
        <f>SUM(E240:E279)</f>
        <v>3181860</v>
      </c>
      <c r="F280" s="200"/>
    </row>
    <row r="281" spans="1:10" ht="18" customHeight="1" x14ac:dyDescent="0.2">
      <c r="A281" s="183"/>
      <c r="B281" s="8"/>
      <c r="C281" s="8"/>
      <c r="D281" s="183"/>
      <c r="E281" s="183"/>
      <c r="F281" s="8"/>
    </row>
    <row r="282" spans="1:10" ht="18" customHeight="1" x14ac:dyDescent="0.2">
      <c r="A282" s="183"/>
      <c r="B282" s="185"/>
      <c r="C282" s="185"/>
      <c r="D282" s="183"/>
      <c r="E282" s="183"/>
      <c r="F282" s="206"/>
      <c r="G282" s="207"/>
      <c r="J282" s="208"/>
    </row>
    <row r="283" spans="1:10" ht="12.75" customHeight="1" x14ac:dyDescent="0.2">
      <c r="A283" s="251" t="s">
        <v>418</v>
      </c>
      <c r="B283" s="254"/>
      <c r="C283" s="254"/>
      <c r="D283" s="254"/>
      <c r="E283" s="255"/>
      <c r="F283" s="8"/>
    </row>
    <row r="284" spans="1:10" ht="44.25" customHeight="1" x14ac:dyDescent="0.2">
      <c r="A284" s="11" t="s">
        <v>8</v>
      </c>
      <c r="B284" s="11" t="s">
        <v>418</v>
      </c>
      <c r="C284" s="12" t="s">
        <v>339</v>
      </c>
      <c r="D284" s="13" t="s">
        <v>11</v>
      </c>
      <c r="E284" s="14" t="s">
        <v>12</v>
      </c>
      <c r="F284" s="200"/>
    </row>
    <row r="285" spans="1:10" ht="15" customHeight="1" x14ac:dyDescent="0.2">
      <c r="A285" s="17" t="s">
        <v>419</v>
      </c>
      <c r="B285" s="209" t="s">
        <v>420</v>
      </c>
      <c r="C285" s="19">
        <f>+[12]BS17A!$D1962</f>
        <v>7</v>
      </c>
      <c r="D285" s="37">
        <f>+[12]BS17A!$U1962</f>
        <v>6320</v>
      </c>
      <c r="E285" s="145">
        <f>+[12]BS17A!$V1962</f>
        <v>44240</v>
      </c>
      <c r="F285" s="8"/>
    </row>
    <row r="286" spans="1:10" ht="15" customHeight="1" x14ac:dyDescent="0.2">
      <c r="A286" s="22" t="s">
        <v>421</v>
      </c>
      <c r="B286" s="210" t="s">
        <v>422</v>
      </c>
      <c r="C286" s="24">
        <f>+[12]BS17A!$D1963</f>
        <v>0</v>
      </c>
      <c r="D286" s="25">
        <f>+[12]BS17A!$U1963</f>
        <v>3370</v>
      </c>
      <c r="E286" s="146">
        <f>+[12]BS17A!$V1963</f>
        <v>0</v>
      </c>
      <c r="F286" s="8"/>
    </row>
    <row r="287" spans="1:10" ht="15" customHeight="1" x14ac:dyDescent="0.2">
      <c r="A287" s="22" t="s">
        <v>423</v>
      </c>
      <c r="B287" s="210" t="s">
        <v>424</v>
      </c>
      <c r="C287" s="24">
        <f>+[12]BS17A!$D1964</f>
        <v>2</v>
      </c>
      <c r="D287" s="25">
        <f>+[12]BS17A!$U1964</f>
        <v>12690</v>
      </c>
      <c r="E287" s="146">
        <f>+[12]BS17A!$V1964</f>
        <v>25380</v>
      </c>
      <c r="F287" s="8"/>
    </row>
    <row r="288" spans="1:10" ht="15" customHeight="1" x14ac:dyDescent="0.2">
      <c r="A288" s="22" t="s">
        <v>425</v>
      </c>
      <c r="B288" s="210" t="s">
        <v>426</v>
      </c>
      <c r="C288" s="24">
        <f>+[12]BS17A!$D1965</f>
        <v>0</v>
      </c>
      <c r="D288" s="25">
        <f>+[12]BS17A!$U1965</f>
        <v>130140</v>
      </c>
      <c r="E288" s="146">
        <f>+[12]BS17A!$V1965</f>
        <v>0</v>
      </c>
      <c r="F288" s="8"/>
    </row>
    <row r="289" spans="1:7" ht="15" customHeight="1" x14ac:dyDescent="0.2">
      <c r="A289" s="29" t="s">
        <v>427</v>
      </c>
      <c r="B289" s="211" t="s">
        <v>428</v>
      </c>
      <c r="C289" s="31">
        <f>+[12]BS17A!$D1966</f>
        <v>0</v>
      </c>
      <c r="D289" s="40">
        <f>+[12]BS17A!$U1966</f>
        <v>714770</v>
      </c>
      <c r="E289" s="153">
        <f>+[12]BS17A!$V1966</f>
        <v>0</v>
      </c>
      <c r="F289" s="8"/>
    </row>
    <row r="290" spans="1:7" ht="15" customHeight="1" x14ac:dyDescent="0.2">
      <c r="A290" s="130"/>
      <c r="B290" s="131" t="s">
        <v>429</v>
      </c>
      <c r="C290" s="56">
        <f>SUM(C285:C289)</f>
        <v>9</v>
      </c>
      <c r="D290" s="57"/>
      <c r="E290" s="107">
        <f>SUM(E285:E289)</f>
        <v>69620</v>
      </c>
      <c r="F290" s="8"/>
    </row>
    <row r="291" spans="1:7" ht="18" customHeight="1" x14ac:dyDescent="0.2">
      <c r="A291" s="183"/>
      <c r="B291" s="185"/>
      <c r="C291" s="183"/>
      <c r="D291" s="183"/>
      <c r="E291" s="183"/>
      <c r="F291" s="8"/>
    </row>
    <row r="292" spans="1:7" ht="18" customHeight="1" x14ac:dyDescent="0.2">
      <c r="A292" s="183"/>
      <c r="B292" s="185"/>
      <c r="C292" s="183"/>
      <c r="D292" s="183"/>
      <c r="E292" s="183"/>
      <c r="F292" s="212"/>
      <c r="G292" s="10"/>
    </row>
    <row r="293" spans="1:7" ht="12.75" x14ac:dyDescent="0.2">
      <c r="A293" s="242" t="s">
        <v>430</v>
      </c>
      <c r="B293" s="243"/>
      <c r="C293" s="243"/>
      <c r="D293" s="243"/>
      <c r="E293" s="244"/>
      <c r="F293" s="213"/>
      <c r="G293" s="10"/>
    </row>
    <row r="294" spans="1:7" ht="36.75" customHeight="1" x14ac:dyDescent="0.2">
      <c r="A294" s="11" t="s">
        <v>8</v>
      </c>
      <c r="B294" s="214" t="s">
        <v>430</v>
      </c>
      <c r="C294" s="215" t="s">
        <v>431</v>
      </c>
      <c r="D294" s="13" t="s">
        <v>11</v>
      </c>
      <c r="E294" s="14" t="s">
        <v>12</v>
      </c>
      <c r="F294" s="213"/>
      <c r="G294" s="10"/>
    </row>
    <row r="295" spans="1:7" ht="15" customHeight="1" x14ac:dyDescent="0.2">
      <c r="A295" s="17" t="s">
        <v>432</v>
      </c>
      <c r="B295" s="36" t="s">
        <v>433</v>
      </c>
      <c r="C295" s="19">
        <f>+[12]BS17A!$D1851</f>
        <v>286</v>
      </c>
      <c r="D295" s="37">
        <f>+[12]BS17A!$U1851</f>
        <v>16920</v>
      </c>
      <c r="E295" s="145">
        <f>+[12]BS17A!$V1851</f>
        <v>4839120</v>
      </c>
      <c r="F295" s="8"/>
    </row>
    <row r="296" spans="1:7" ht="15" customHeight="1" x14ac:dyDescent="0.2">
      <c r="A296" s="22" t="s">
        <v>434</v>
      </c>
      <c r="B296" s="28" t="s">
        <v>435</v>
      </c>
      <c r="C296" s="24">
        <f>+[12]BS17A!$D1852</f>
        <v>170</v>
      </c>
      <c r="D296" s="25">
        <f>+[12]BS17A!$U1852</f>
        <v>53200</v>
      </c>
      <c r="E296" s="146">
        <f>+[12]BS17A!$V1852</f>
        <v>9044000</v>
      </c>
      <c r="F296" s="8"/>
    </row>
    <row r="297" spans="1:7" ht="15" customHeight="1" x14ac:dyDescent="0.2">
      <c r="A297" s="22" t="s">
        <v>436</v>
      </c>
      <c r="B297" s="28" t="s">
        <v>437</v>
      </c>
      <c r="C297" s="24">
        <f>+[12]BS17A!$D1853</f>
        <v>0</v>
      </c>
      <c r="D297" s="25">
        <f>+[12]BS17A!$U1853</f>
        <v>65950</v>
      </c>
      <c r="E297" s="146">
        <f>+[12]BS17A!$V1853</f>
        <v>0</v>
      </c>
      <c r="F297" s="8"/>
    </row>
    <row r="298" spans="1:7" ht="15" customHeight="1" x14ac:dyDescent="0.2">
      <c r="A298" s="22" t="s">
        <v>438</v>
      </c>
      <c r="B298" s="28" t="s">
        <v>439</v>
      </c>
      <c r="C298" s="24">
        <f>+[12]BS17A!$D1854</f>
        <v>133</v>
      </c>
      <c r="D298" s="25">
        <f>+[12]BS17A!$U1854</f>
        <v>2320</v>
      </c>
      <c r="E298" s="146">
        <f>+[12]BS17A!$V1854</f>
        <v>308560</v>
      </c>
      <c r="F298" s="8"/>
    </row>
    <row r="299" spans="1:7" ht="15" customHeight="1" x14ac:dyDescent="0.2">
      <c r="A299" s="22" t="s">
        <v>440</v>
      </c>
      <c r="B299" s="28" t="s">
        <v>441</v>
      </c>
      <c r="C299" s="24">
        <f>+[12]BS17A!$D1855</f>
        <v>0</v>
      </c>
      <c r="D299" s="25">
        <f>+[12]BS17A!$U1855</f>
        <v>70</v>
      </c>
      <c r="E299" s="146">
        <f>+[12]BS17A!$V1855</f>
        <v>0</v>
      </c>
      <c r="F299" s="8"/>
    </row>
    <row r="300" spans="1:7" ht="15" customHeight="1" x14ac:dyDescent="0.2">
      <c r="A300" s="22" t="s">
        <v>442</v>
      </c>
      <c r="B300" s="23" t="s">
        <v>443</v>
      </c>
      <c r="C300" s="24">
        <f>+[12]BS17A!$D1856</f>
        <v>0</v>
      </c>
      <c r="D300" s="25">
        <f>+[12]BS17A!$U1856</f>
        <v>140030</v>
      </c>
      <c r="E300" s="146">
        <f>+[12]BS17A!$V1856</f>
        <v>0</v>
      </c>
      <c r="F300" s="8"/>
    </row>
    <row r="301" spans="1:7" ht="15" customHeight="1" x14ac:dyDescent="0.2">
      <c r="A301" s="29" t="s">
        <v>444</v>
      </c>
      <c r="B301" s="43" t="s">
        <v>445</v>
      </c>
      <c r="C301" s="31">
        <f>+[12]BS17A!$D1857</f>
        <v>0</v>
      </c>
      <c r="D301" s="40">
        <f>+[12]BS17A!$U1857</f>
        <v>9520</v>
      </c>
      <c r="E301" s="153">
        <f>+[12]BS17A!$V1857</f>
        <v>0</v>
      </c>
      <c r="F301" s="8"/>
    </row>
    <row r="302" spans="1:7" ht="15" customHeight="1" x14ac:dyDescent="0.2">
      <c r="A302" s="96"/>
      <c r="B302" s="246" t="s">
        <v>446</v>
      </c>
      <c r="C302" s="247"/>
      <c r="D302" s="188"/>
      <c r="E302" s="217">
        <f>SUM(E295:E301)</f>
        <v>14191680</v>
      </c>
      <c r="F302" s="8"/>
    </row>
    <row r="303" spans="1:7" ht="12.75" x14ac:dyDescent="0.2">
      <c r="A303" s="8"/>
      <c r="B303" s="8"/>
      <c r="C303" s="8"/>
      <c r="D303" s="8"/>
      <c r="E303" s="8"/>
      <c r="F303" s="175"/>
      <c r="G303" s="182"/>
    </row>
    <row r="304" spans="1:7" ht="12.75" x14ac:dyDescent="0.2">
      <c r="A304" s="8"/>
      <c r="B304" s="8"/>
      <c r="C304" s="8"/>
      <c r="D304" s="8"/>
      <c r="E304" s="8"/>
      <c r="F304" s="175"/>
      <c r="G304" s="182"/>
    </row>
    <row r="305" spans="1:7" ht="12.75" x14ac:dyDescent="0.2">
      <c r="A305" s="239" t="s">
        <v>447</v>
      </c>
      <c r="B305" s="240"/>
      <c r="C305" s="240"/>
      <c r="D305" s="240"/>
      <c r="E305" s="241"/>
      <c r="F305" s="175"/>
      <c r="G305" s="182"/>
    </row>
    <row r="306" spans="1:7" ht="12.75" x14ac:dyDescent="0.2">
      <c r="A306" s="218"/>
      <c r="B306" s="248" t="s">
        <v>448</v>
      </c>
      <c r="C306" s="249"/>
      <c r="D306" s="250"/>
      <c r="E306" s="219">
        <f>+E231+E236+E280+E290+E302</f>
        <v>28152850</v>
      </c>
      <c r="F306" s="8"/>
    </row>
    <row r="307" spans="1:7" ht="12.75" x14ac:dyDescent="0.2">
      <c r="A307" s="8"/>
      <c r="B307" s="8"/>
      <c r="C307" s="8"/>
      <c r="D307" s="8"/>
      <c r="E307" s="8"/>
      <c r="F307" s="175"/>
      <c r="G307" s="182"/>
    </row>
    <row r="308" spans="1:7" ht="12.75" x14ac:dyDescent="0.2">
      <c r="A308" s="8"/>
      <c r="B308" s="8"/>
      <c r="C308" s="8"/>
      <c r="D308" s="8"/>
      <c r="E308" s="8"/>
      <c r="F308" s="175"/>
      <c r="G308" s="182"/>
    </row>
    <row r="309" spans="1:7" ht="12.75" x14ac:dyDescent="0.2">
      <c r="A309" s="239" t="s">
        <v>449</v>
      </c>
      <c r="B309" s="240"/>
      <c r="C309" s="240"/>
      <c r="D309" s="240"/>
      <c r="E309" s="241"/>
      <c r="F309" s="175"/>
      <c r="G309" s="182"/>
    </row>
    <row r="310" spans="1:7" ht="25.5" x14ac:dyDescent="0.2">
      <c r="A310" s="242" t="s">
        <v>450</v>
      </c>
      <c r="B310" s="243"/>
      <c r="C310" s="243"/>
      <c r="D310" s="244"/>
      <c r="E310" s="11" t="s">
        <v>12</v>
      </c>
      <c r="F310" s="175"/>
      <c r="G310" s="182"/>
    </row>
    <row r="311" spans="1:7" ht="15" customHeight="1" x14ac:dyDescent="0.2">
      <c r="A311" s="218"/>
      <c r="B311" s="248" t="s">
        <v>451</v>
      </c>
      <c r="C311" s="249"/>
      <c r="D311" s="250"/>
      <c r="E311" s="219">
        <f>+E50+E76+E84+F109+E116+C121+E148+E155+E167+E203+E217+C224+E306</f>
        <v>574222830</v>
      </c>
      <c r="F311" s="175"/>
      <c r="G311" s="182"/>
    </row>
    <row r="312" spans="1:7" ht="18" customHeight="1" x14ac:dyDescent="0.2">
      <c r="A312" s="8"/>
      <c r="B312" s="8"/>
      <c r="C312" s="8"/>
      <c r="D312" s="8"/>
      <c r="E312" s="8"/>
      <c r="F312" s="5"/>
    </row>
    <row r="313" spans="1:7" ht="18" customHeight="1" x14ac:dyDescent="0.2">
      <c r="A313" s="8"/>
      <c r="B313" s="8"/>
      <c r="C313" s="8"/>
      <c r="D313" s="8"/>
      <c r="E313" s="8"/>
      <c r="F313" s="5"/>
    </row>
    <row r="314" spans="1:7" ht="18" customHeight="1" x14ac:dyDescent="0.2">
      <c r="A314" s="239" t="s">
        <v>452</v>
      </c>
      <c r="B314" s="240"/>
      <c r="C314" s="241"/>
      <c r="D314" s="8"/>
      <c r="E314" s="8"/>
      <c r="F314" s="5"/>
    </row>
    <row r="315" spans="1:7" ht="18" customHeight="1" x14ac:dyDescent="0.2">
      <c r="A315" s="242" t="s">
        <v>453</v>
      </c>
      <c r="B315" s="243"/>
      <c r="C315" s="244"/>
      <c r="D315" s="8"/>
      <c r="E315" s="8"/>
      <c r="F315" s="5"/>
    </row>
    <row r="316" spans="1:7" ht="30.75" customHeight="1" x14ac:dyDescent="0.2">
      <c r="A316" s="239" t="s">
        <v>454</v>
      </c>
      <c r="B316" s="240"/>
      <c r="C316" s="11" t="s">
        <v>455</v>
      </c>
      <c r="D316" s="8"/>
      <c r="E316" s="8"/>
      <c r="F316" s="8"/>
    </row>
    <row r="317" spans="1:7" ht="15" customHeight="1" x14ac:dyDescent="0.2">
      <c r="A317" s="220" t="s">
        <v>456</v>
      </c>
      <c r="B317" s="191"/>
      <c r="C317" s="221"/>
      <c r="D317" s="8"/>
      <c r="E317" s="8"/>
      <c r="F317" s="8"/>
    </row>
    <row r="318" spans="1:7" ht="15" customHeight="1" x14ac:dyDescent="0.2">
      <c r="A318" s="24" t="s">
        <v>457</v>
      </c>
      <c r="B318" s="193"/>
      <c r="C318" s="222"/>
      <c r="D318" s="8"/>
      <c r="E318" s="8"/>
      <c r="F318" s="8"/>
    </row>
    <row r="319" spans="1:7" ht="15" customHeight="1" x14ac:dyDescent="0.2">
      <c r="A319" s="24" t="s">
        <v>458</v>
      </c>
      <c r="B319" s="193"/>
      <c r="C319" s="222"/>
      <c r="D319" s="8"/>
      <c r="E319" s="8"/>
      <c r="F319" s="8"/>
    </row>
    <row r="320" spans="1:7" ht="15" customHeight="1" x14ac:dyDescent="0.2">
      <c r="A320" s="223" t="s">
        <v>459</v>
      </c>
      <c r="B320" s="193"/>
      <c r="C320" s="222"/>
      <c r="D320" s="8"/>
      <c r="E320" s="8"/>
      <c r="F320" s="8"/>
    </row>
    <row r="321" spans="1:6" ht="15" customHeight="1" x14ac:dyDescent="0.2">
      <c r="A321" s="224" t="s">
        <v>460</v>
      </c>
      <c r="B321" s="225"/>
      <c r="C321" s="226">
        <f>SUM(C317:C320)</f>
        <v>0</v>
      </c>
      <c r="D321" s="8"/>
      <c r="E321" s="8"/>
      <c r="F321" s="8"/>
    </row>
    <row r="322" spans="1:6" ht="15" customHeight="1" x14ac:dyDescent="0.2">
      <c r="A322" s="19" t="s">
        <v>461</v>
      </c>
      <c r="B322" s="227"/>
      <c r="C322" s="221">
        <v>7921053</v>
      </c>
      <c r="D322" s="8"/>
      <c r="E322" s="8"/>
      <c r="F322" s="8"/>
    </row>
    <row r="323" spans="1:6" ht="15" customHeight="1" x14ac:dyDescent="0.2">
      <c r="A323" s="228" t="s">
        <v>462</v>
      </c>
      <c r="B323" s="229"/>
      <c r="C323" s="222"/>
      <c r="D323" s="8"/>
      <c r="E323" s="8"/>
      <c r="F323" s="8"/>
    </row>
    <row r="324" spans="1:6" ht="15" customHeight="1" x14ac:dyDescent="0.2">
      <c r="A324" s="24" t="s">
        <v>463</v>
      </c>
      <c r="B324" s="229"/>
      <c r="C324" s="222"/>
      <c r="D324" s="8"/>
      <c r="E324" s="8"/>
      <c r="F324" s="8"/>
    </row>
    <row r="325" spans="1:6" ht="15" customHeight="1" x14ac:dyDescent="0.2">
      <c r="A325" s="24" t="s">
        <v>464</v>
      </c>
      <c r="B325" s="229"/>
      <c r="C325" s="222"/>
      <c r="D325" s="8"/>
      <c r="E325" s="8"/>
      <c r="F325" s="8"/>
    </row>
    <row r="326" spans="1:6" ht="15" customHeight="1" x14ac:dyDescent="0.2">
      <c r="A326" s="228" t="s">
        <v>465</v>
      </c>
      <c r="B326" s="229"/>
      <c r="C326" s="222"/>
      <c r="D326" s="8"/>
      <c r="E326" s="8"/>
      <c r="F326" s="8"/>
    </row>
    <row r="327" spans="1:6" ht="15" customHeight="1" x14ac:dyDescent="0.2">
      <c r="A327" s="228" t="s">
        <v>466</v>
      </c>
      <c r="B327" s="229"/>
      <c r="C327" s="222"/>
      <c r="D327" s="8"/>
      <c r="E327" s="8"/>
      <c r="F327" s="8"/>
    </row>
    <row r="328" spans="1:6" ht="15" customHeight="1" x14ac:dyDescent="0.2">
      <c r="A328" s="230" t="s">
        <v>467</v>
      </c>
      <c r="B328" s="231"/>
      <c r="C328" s="232">
        <v>57318795</v>
      </c>
      <c r="D328" s="8"/>
      <c r="E328" s="8"/>
      <c r="F328" s="8"/>
    </row>
    <row r="329" spans="1:6" ht="15" customHeight="1" x14ac:dyDescent="0.2">
      <c r="A329" s="44"/>
      <c r="B329" s="233" t="s">
        <v>468</v>
      </c>
      <c r="C329" s="163">
        <f>SUM(C321:C328)</f>
        <v>65239848</v>
      </c>
      <c r="D329" s="8"/>
      <c r="E329" s="8"/>
      <c r="F329" s="8"/>
    </row>
    <row r="330" spans="1:6" ht="12.75" x14ac:dyDescent="0.2">
      <c r="A330" s="8"/>
      <c r="B330" s="8"/>
      <c r="C330" s="8"/>
      <c r="D330" s="8"/>
      <c r="E330" s="8"/>
      <c r="F330" s="5"/>
    </row>
    <row r="331" spans="1:6" ht="12.75" x14ac:dyDescent="0.2">
      <c r="A331" s="8"/>
      <c r="B331" s="8"/>
      <c r="C331" s="8"/>
      <c r="D331" s="8"/>
      <c r="E331" s="8"/>
      <c r="F331" s="5"/>
    </row>
    <row r="332" spans="1:6" ht="12.75" x14ac:dyDescent="0.2">
      <c r="A332" s="8"/>
      <c r="B332" s="8"/>
      <c r="C332" s="8"/>
      <c r="D332" s="8"/>
      <c r="E332" s="8"/>
      <c r="F332" s="5"/>
    </row>
    <row r="333" spans="1:6" ht="12.75" x14ac:dyDescent="0.2">
      <c r="A333" s="183"/>
      <c r="B333" s="183"/>
      <c r="C333" s="183"/>
      <c r="D333" s="183"/>
      <c r="E333" s="183"/>
      <c r="F333" s="212"/>
    </row>
    <row r="334" spans="1:6" ht="12.75" x14ac:dyDescent="0.2">
      <c r="A334" s="183"/>
      <c r="B334" s="183"/>
      <c r="C334" s="183"/>
      <c r="D334" s="183"/>
      <c r="E334" s="245" t="str">
        <f>[12]NOMBRE!B12</f>
        <v xml:space="preserve">SRA. MARIA INES NUNEZ GONZALEZ </v>
      </c>
      <c r="F334" s="245"/>
    </row>
    <row r="335" spans="1:6" ht="12.75" x14ac:dyDescent="0.2">
      <c r="A335" s="183"/>
      <c r="B335" s="183"/>
      <c r="C335" s="183"/>
      <c r="D335" s="185"/>
      <c r="E335" s="238" t="str">
        <f>[12]NOMBRE!A12</f>
        <v>Jefe de Estadisticas</v>
      </c>
      <c r="F335" s="238"/>
    </row>
    <row r="336" spans="1:6" ht="12.75" x14ac:dyDescent="0.2">
      <c r="A336" s="183"/>
      <c r="B336" s="183"/>
      <c r="C336" s="183"/>
      <c r="D336" s="183"/>
      <c r="E336" s="234"/>
      <c r="F336" s="235"/>
    </row>
    <row r="337" spans="1:6" ht="12.75" x14ac:dyDescent="0.2">
      <c r="A337" s="183"/>
      <c r="B337" s="183"/>
      <c r="C337" s="183"/>
      <c r="D337" s="183"/>
      <c r="E337" s="235"/>
      <c r="F337" s="235"/>
    </row>
    <row r="338" spans="1:6" ht="12.75" x14ac:dyDescent="0.2">
      <c r="A338" s="183"/>
      <c r="B338" s="183"/>
      <c r="C338" s="183"/>
      <c r="D338" s="183"/>
      <c r="E338" s="235"/>
      <c r="F338" s="235"/>
    </row>
    <row r="339" spans="1:6" ht="12.75" x14ac:dyDescent="0.2">
      <c r="A339" s="183"/>
      <c r="B339" s="183"/>
      <c r="C339" s="183"/>
      <c r="D339" s="183"/>
      <c r="E339" s="235"/>
      <c r="F339" s="235"/>
    </row>
    <row r="340" spans="1:6" ht="12.75" x14ac:dyDescent="0.2">
      <c r="A340" s="183"/>
      <c r="B340" s="183"/>
      <c r="C340" s="183"/>
      <c r="D340" s="183"/>
      <c r="E340" s="235"/>
      <c r="F340" s="235"/>
    </row>
    <row r="341" spans="1:6" ht="12.75" x14ac:dyDescent="0.2">
      <c r="A341" s="183"/>
      <c r="B341" s="183"/>
      <c r="C341" s="183"/>
      <c r="D341" s="183"/>
      <c r="E341" s="235"/>
      <c r="F341" s="235"/>
    </row>
    <row r="342" spans="1:6" ht="12.75" x14ac:dyDescent="0.2">
      <c r="A342" s="183"/>
      <c r="B342" s="183"/>
      <c r="C342" s="183"/>
      <c r="D342" s="183"/>
      <c r="E342" s="235"/>
      <c r="F342" s="235"/>
    </row>
    <row r="343" spans="1:6" ht="12.75" x14ac:dyDescent="0.2">
      <c r="A343" s="183"/>
      <c r="B343" s="183"/>
      <c r="C343" s="183"/>
      <c r="D343" s="183"/>
      <c r="E343" s="245" t="str">
        <f>[12]NOMBRE!B11</f>
        <v xml:space="preserve">DR. RUBEN BRAVO CASTILLO </v>
      </c>
      <c r="F343" s="245"/>
    </row>
    <row r="344" spans="1:6" ht="22.5" customHeight="1" x14ac:dyDescent="0.2">
      <c r="A344" s="183"/>
      <c r="B344" s="183"/>
      <c r="C344" s="183"/>
      <c r="D344" s="212"/>
      <c r="E344" s="238" t="str">
        <f>CONCATENATE("Director ",[12]NOMBRE!B1)</f>
        <v xml:space="preserve">Director </v>
      </c>
      <c r="F344" s="238"/>
    </row>
    <row r="345" spans="1:6" ht="12.75" x14ac:dyDescent="0.2">
      <c r="A345" s="183"/>
      <c r="B345" s="183"/>
      <c r="C345" s="183"/>
      <c r="D345" s="236"/>
      <c r="E345" s="183"/>
      <c r="F345" s="212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27:E227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0:E170"/>
    <mergeCell ref="A206:E206"/>
    <mergeCell ref="A220:C220"/>
    <mergeCell ref="B311:D311"/>
    <mergeCell ref="A234:E234"/>
    <mergeCell ref="A238:E238"/>
    <mergeCell ref="A254:E254"/>
    <mergeCell ref="A273:E273"/>
    <mergeCell ref="A283:E283"/>
    <mergeCell ref="A293:E293"/>
    <mergeCell ref="B302:C302"/>
    <mergeCell ref="A305:E305"/>
    <mergeCell ref="B306:D306"/>
    <mergeCell ref="A309:E309"/>
    <mergeCell ref="A310:D310"/>
    <mergeCell ref="E344:F344"/>
    <mergeCell ref="A314:C314"/>
    <mergeCell ref="A315:C315"/>
    <mergeCell ref="A316:B316"/>
    <mergeCell ref="E334:F334"/>
    <mergeCell ref="E335:F335"/>
    <mergeCell ref="E343:F3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topLeftCell="A40" workbookViewId="0">
      <selection sqref="A1:XFD1048576"/>
    </sheetView>
  </sheetViews>
  <sheetFormatPr baseColWidth="10" defaultRowHeight="10.5" x14ac:dyDescent="0.15"/>
  <cols>
    <col min="1" max="1" width="15" style="4" customWidth="1"/>
    <col min="2" max="2" width="74" style="4" customWidth="1"/>
    <col min="3" max="5" width="21.42578125" style="4" customWidth="1"/>
    <col min="6" max="6" width="19.5703125" style="237" customWidth="1"/>
    <col min="7" max="7" width="2.42578125" style="4" customWidth="1"/>
    <col min="8" max="9" width="5.140625" style="4" customWidth="1"/>
    <col min="10" max="256" width="11.42578125" style="4"/>
    <col min="257" max="257" width="15" style="4" customWidth="1"/>
    <col min="258" max="258" width="74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15" style="4" customWidth="1"/>
    <col min="514" max="514" width="74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15" style="4" customWidth="1"/>
    <col min="770" max="770" width="74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15" style="4" customWidth="1"/>
    <col min="1026" max="1026" width="74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15" style="4" customWidth="1"/>
    <col min="1282" max="1282" width="74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15" style="4" customWidth="1"/>
    <col min="1538" max="1538" width="74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15" style="4" customWidth="1"/>
    <col min="1794" max="1794" width="74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15" style="4" customWidth="1"/>
    <col min="2050" max="2050" width="74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15" style="4" customWidth="1"/>
    <col min="2306" max="2306" width="74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15" style="4" customWidth="1"/>
    <col min="2562" max="2562" width="74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15" style="4" customWidth="1"/>
    <col min="2818" max="2818" width="74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15" style="4" customWidth="1"/>
    <col min="3074" max="3074" width="74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15" style="4" customWidth="1"/>
    <col min="3330" max="3330" width="74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15" style="4" customWidth="1"/>
    <col min="3586" max="3586" width="74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15" style="4" customWidth="1"/>
    <col min="3842" max="3842" width="74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15" style="4" customWidth="1"/>
    <col min="4098" max="4098" width="74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15" style="4" customWidth="1"/>
    <col min="4354" max="4354" width="74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15" style="4" customWidth="1"/>
    <col min="4610" max="4610" width="74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15" style="4" customWidth="1"/>
    <col min="4866" max="4866" width="74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15" style="4" customWidth="1"/>
    <col min="5122" max="5122" width="74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15" style="4" customWidth="1"/>
    <col min="5378" max="5378" width="74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15" style="4" customWidth="1"/>
    <col min="5634" max="5634" width="74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15" style="4" customWidth="1"/>
    <col min="5890" max="5890" width="74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15" style="4" customWidth="1"/>
    <col min="6146" max="6146" width="74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15" style="4" customWidth="1"/>
    <col min="6402" max="6402" width="74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15" style="4" customWidth="1"/>
    <col min="6658" max="6658" width="74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15" style="4" customWidth="1"/>
    <col min="6914" max="6914" width="74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15" style="4" customWidth="1"/>
    <col min="7170" max="7170" width="74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15" style="4" customWidth="1"/>
    <col min="7426" max="7426" width="74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15" style="4" customWidth="1"/>
    <col min="7682" max="7682" width="74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15" style="4" customWidth="1"/>
    <col min="7938" max="7938" width="74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15" style="4" customWidth="1"/>
    <col min="8194" max="8194" width="74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15" style="4" customWidth="1"/>
    <col min="8450" max="8450" width="74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15" style="4" customWidth="1"/>
    <col min="8706" max="8706" width="74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15" style="4" customWidth="1"/>
    <col min="8962" max="8962" width="74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15" style="4" customWidth="1"/>
    <col min="9218" max="9218" width="74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15" style="4" customWidth="1"/>
    <col min="9474" max="9474" width="74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15" style="4" customWidth="1"/>
    <col min="9730" max="9730" width="74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15" style="4" customWidth="1"/>
    <col min="9986" max="9986" width="74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15" style="4" customWidth="1"/>
    <col min="10242" max="10242" width="74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15" style="4" customWidth="1"/>
    <col min="10498" max="10498" width="74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15" style="4" customWidth="1"/>
    <col min="10754" max="10754" width="74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15" style="4" customWidth="1"/>
    <col min="11010" max="11010" width="74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15" style="4" customWidth="1"/>
    <col min="11266" max="11266" width="74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15" style="4" customWidth="1"/>
    <col min="11522" max="11522" width="74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15" style="4" customWidth="1"/>
    <col min="11778" max="11778" width="74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15" style="4" customWidth="1"/>
    <col min="12034" max="12034" width="74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15" style="4" customWidth="1"/>
    <col min="12290" max="12290" width="74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15" style="4" customWidth="1"/>
    <col min="12546" max="12546" width="74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15" style="4" customWidth="1"/>
    <col min="12802" max="12802" width="74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15" style="4" customWidth="1"/>
    <col min="13058" max="13058" width="74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15" style="4" customWidth="1"/>
    <col min="13314" max="13314" width="74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15" style="4" customWidth="1"/>
    <col min="13570" max="13570" width="74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15" style="4" customWidth="1"/>
    <col min="13826" max="13826" width="74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15" style="4" customWidth="1"/>
    <col min="14082" max="14082" width="74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15" style="4" customWidth="1"/>
    <col min="14338" max="14338" width="74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15" style="4" customWidth="1"/>
    <col min="14594" max="14594" width="74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15" style="4" customWidth="1"/>
    <col min="14850" max="14850" width="74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15" style="4" customWidth="1"/>
    <col min="15106" max="15106" width="74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15" style="4" customWidth="1"/>
    <col min="15362" max="15362" width="74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15" style="4" customWidth="1"/>
    <col min="15618" max="15618" width="74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15" style="4" customWidth="1"/>
    <col min="15874" max="15874" width="74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15" style="4" customWidth="1"/>
    <col min="16130" max="16130" width="74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271" t="s">
        <v>1</v>
      </c>
      <c r="D1" s="272"/>
      <c r="E1" s="273"/>
      <c r="F1" s="3"/>
    </row>
    <row r="2" spans="1:7" ht="12.75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68"/>
      <c r="D2" s="269"/>
      <c r="E2" s="270"/>
      <c r="F2" s="5"/>
      <c r="G2" s="6"/>
    </row>
    <row r="3" spans="1:7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71" t="s">
        <v>2</v>
      </c>
      <c r="D3" s="272"/>
      <c r="E3" s="273"/>
      <c r="F3" s="5"/>
      <c r="G3" s="7"/>
    </row>
    <row r="4" spans="1:7" ht="12.75" x14ac:dyDescent="0.2">
      <c r="A4" s="1" t="str">
        <f>CONCATENATE("MES: ",[1]NOMBRE!B6," - ","( ",[1]NOMBRE!C6,[1]NOMBRE!D6," )")</f>
        <v>MES: ENERO - ( 01 )</v>
      </c>
      <c r="B4" s="2"/>
      <c r="C4" s="268" t="str">
        <f>CONCATENATE([1]NOMBRE!B6," ","( ",[1]NOMBRE!C6,[1]NOMBRE!D6," )")</f>
        <v>ENERO ( 01 )</v>
      </c>
      <c r="D4" s="269"/>
      <c r="E4" s="270"/>
      <c r="F4" s="5"/>
      <c r="G4" s="7"/>
    </row>
    <row r="5" spans="1:7" ht="12.75" x14ac:dyDescent="0.2">
      <c r="A5" s="1" t="str">
        <f>CONCATENATE("AÑO: ",[1]NOMBRE!B7)</f>
        <v>AÑO: 2011</v>
      </c>
      <c r="B5" s="2"/>
      <c r="C5" s="271" t="s">
        <v>3</v>
      </c>
      <c r="D5" s="272"/>
      <c r="E5" s="273"/>
      <c r="F5" s="5"/>
      <c r="G5" s="7"/>
    </row>
    <row r="6" spans="1:7" ht="12.75" x14ac:dyDescent="0.2">
      <c r="A6" s="8"/>
      <c r="B6" s="8"/>
      <c r="C6" s="268">
        <f>[1]NOMBRE!B7</f>
        <v>2011</v>
      </c>
      <c r="D6" s="269"/>
      <c r="E6" s="270"/>
      <c r="F6" s="5"/>
      <c r="G6" s="7"/>
    </row>
    <row r="7" spans="1:7" ht="12.75" x14ac:dyDescent="0.2">
      <c r="A7" s="263" t="s">
        <v>4</v>
      </c>
      <c r="B7" s="264"/>
      <c r="C7" s="265" t="s">
        <v>5</v>
      </c>
      <c r="D7" s="266"/>
      <c r="E7" s="267"/>
      <c r="F7" s="5"/>
      <c r="G7" s="7"/>
    </row>
    <row r="8" spans="1:7" ht="12.75" x14ac:dyDescent="0.2">
      <c r="A8" s="8"/>
      <c r="B8" s="9" t="s">
        <v>6</v>
      </c>
      <c r="C8" s="268" t="str">
        <f>CONCATENATE([1]NOMBRE!B3," ","( ",[1]NOMBRE!C3,[1]NOMBRE!D3,[1]NOMBRE!E3,[1]NOMBRE!F3,[1]NOMBRE!G3," )")</f>
        <v>HOSPITAL DE LINARES  ( 16108 )</v>
      </c>
      <c r="D8" s="269"/>
      <c r="E8" s="270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256" t="s">
        <v>7</v>
      </c>
      <c r="B11" s="252"/>
      <c r="C11" s="252"/>
      <c r="D11" s="252"/>
      <c r="E11" s="253"/>
      <c r="F11" s="5"/>
    </row>
    <row r="12" spans="1:7" ht="43.5" customHeight="1" x14ac:dyDescent="0.2">
      <c r="A12" s="11" t="s">
        <v>8</v>
      </c>
      <c r="B12" s="11" t="s">
        <v>9</v>
      </c>
      <c r="C12" s="12" t="s">
        <v>10</v>
      </c>
      <c r="D12" s="13" t="s">
        <v>11</v>
      </c>
      <c r="E12" s="14" t="s">
        <v>12</v>
      </c>
      <c r="F12" s="8"/>
    </row>
    <row r="13" spans="1:7" ht="12.75" customHeight="1" x14ac:dyDescent="0.2">
      <c r="A13" s="242" t="s">
        <v>13</v>
      </c>
      <c r="B13" s="243"/>
      <c r="C13" s="243"/>
      <c r="D13" s="243"/>
      <c r="E13" s="244"/>
      <c r="F13" s="8"/>
    </row>
    <row r="14" spans="1:7" ht="15" customHeight="1" x14ac:dyDescent="0.2">
      <c r="A14" s="17" t="s">
        <v>14</v>
      </c>
      <c r="B14" s="18" t="s">
        <v>15</v>
      </c>
      <c r="C14" s="19">
        <f>[1]BS17A!$D13</f>
        <v>0</v>
      </c>
      <c r="D14" s="20">
        <f>[1]BS17A!$U13</f>
        <v>3710</v>
      </c>
      <c r="E14" s="21">
        <f>[1]BS17A!$V13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24">
        <f>[1]BS17A!$D14</f>
        <v>0</v>
      </c>
      <c r="D15" s="25">
        <f>[1]BS17A!$U14</f>
        <v>4670</v>
      </c>
      <c r="E15" s="26">
        <f>[1]BS17A!$V14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24">
        <f>[1]BS17A!$D15</f>
        <v>0</v>
      </c>
      <c r="D16" s="25">
        <f>[1]BS17A!$U15</f>
        <v>9990</v>
      </c>
      <c r="E16" s="26">
        <f>[1]BS17A!$V15</f>
        <v>0</v>
      </c>
      <c r="F16" s="8"/>
    </row>
    <row r="17" spans="1:6" ht="15" customHeight="1" x14ac:dyDescent="0.2">
      <c r="A17" s="22" t="s">
        <v>20</v>
      </c>
      <c r="B17" s="23" t="s">
        <v>21</v>
      </c>
      <c r="C17" s="24">
        <f>[1]BS17A!$D16</f>
        <v>0</v>
      </c>
      <c r="D17" s="25">
        <f>[1]BS17A!$U16</f>
        <v>5970</v>
      </c>
      <c r="E17" s="26">
        <f>[1]BS17A!$V16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24">
        <f>[1]BS17A!$D17</f>
        <v>8937</v>
      </c>
      <c r="D18" s="25">
        <f>[1]BS17A!$U17</f>
        <v>6550</v>
      </c>
      <c r="E18" s="26">
        <f>[1]BS17A!$V17</f>
        <v>58537350</v>
      </c>
      <c r="F18" s="8"/>
    </row>
    <row r="19" spans="1:6" ht="33" customHeight="1" x14ac:dyDescent="0.2">
      <c r="A19" s="22" t="s">
        <v>24</v>
      </c>
      <c r="B19" s="27" t="s">
        <v>25</v>
      </c>
      <c r="C19" s="24">
        <f>[1]BS17A!$D20</f>
        <v>0</v>
      </c>
      <c r="D19" s="25">
        <f>[1]BS17A!$U20</f>
        <v>5040</v>
      </c>
      <c r="E19" s="26">
        <f>[1]BS17A!$V20</f>
        <v>0</v>
      </c>
      <c r="F19" s="8"/>
    </row>
    <row r="20" spans="1:6" ht="42.75" customHeight="1" x14ac:dyDescent="0.2">
      <c r="A20" s="22" t="s">
        <v>26</v>
      </c>
      <c r="B20" s="27" t="s">
        <v>27</v>
      </c>
      <c r="C20" s="24">
        <f>[1]BS17A!$D21</f>
        <v>0</v>
      </c>
      <c r="D20" s="25">
        <f>[1]BS17A!$U21</f>
        <v>6050</v>
      </c>
      <c r="E20" s="26">
        <f>[1]BS17A!$V21</f>
        <v>0</v>
      </c>
      <c r="F20" s="8"/>
    </row>
    <row r="21" spans="1:6" ht="42.75" customHeight="1" x14ac:dyDescent="0.2">
      <c r="A21" s="22" t="s">
        <v>28</v>
      </c>
      <c r="B21" s="27" t="s">
        <v>29</v>
      </c>
      <c r="C21" s="24">
        <f>[1]BS17A!$D22</f>
        <v>0</v>
      </c>
      <c r="D21" s="25">
        <f>[1]BS17A!$U22</f>
        <v>7510</v>
      </c>
      <c r="E21" s="26">
        <f>[1]BS17A!$V22</f>
        <v>0</v>
      </c>
      <c r="F21" s="8"/>
    </row>
    <row r="22" spans="1:6" ht="32.25" customHeight="1" x14ac:dyDescent="0.2">
      <c r="A22" s="22" t="s">
        <v>30</v>
      </c>
      <c r="B22" s="27" t="s">
        <v>31</v>
      </c>
      <c r="C22" s="24">
        <f>[1]BS17A!$D23</f>
        <v>1246</v>
      </c>
      <c r="D22" s="25">
        <f>[1]BS17A!$U23</f>
        <v>5040</v>
      </c>
      <c r="E22" s="26">
        <f>[1]BS17A!$V23</f>
        <v>6279840</v>
      </c>
      <c r="F22" s="8"/>
    </row>
    <row r="23" spans="1:6" ht="40.5" customHeight="1" x14ac:dyDescent="0.2">
      <c r="A23" s="22" t="s">
        <v>32</v>
      </c>
      <c r="B23" s="27" t="s">
        <v>33</v>
      </c>
      <c r="C23" s="24">
        <f>[1]BS17A!$D24</f>
        <v>720</v>
      </c>
      <c r="D23" s="25">
        <f>[1]BS17A!$U24</f>
        <v>6050</v>
      </c>
      <c r="E23" s="26">
        <f>[1]BS17A!$V24</f>
        <v>4356000</v>
      </c>
      <c r="F23" s="8"/>
    </row>
    <row r="24" spans="1:6" ht="27" customHeight="1" x14ac:dyDescent="0.2">
      <c r="A24" s="22" t="s">
        <v>34</v>
      </c>
      <c r="B24" s="27" t="s">
        <v>35</v>
      </c>
      <c r="C24" s="24">
        <f>[1]BS17A!$D25</f>
        <v>2109</v>
      </c>
      <c r="D24" s="25">
        <f>[1]BS17A!$U25</f>
        <v>7510</v>
      </c>
      <c r="E24" s="26">
        <f>[1]BS17A!$V25</f>
        <v>15838590</v>
      </c>
      <c r="F24" s="8"/>
    </row>
    <row r="25" spans="1:6" ht="15" customHeight="1" x14ac:dyDescent="0.2">
      <c r="A25" s="22" t="s">
        <v>36</v>
      </c>
      <c r="B25" s="28" t="s">
        <v>37</v>
      </c>
      <c r="C25" s="24">
        <f>+[1]BS17A!$D791</f>
        <v>75</v>
      </c>
      <c r="D25" s="25">
        <f>+[1]BS17A!$U791</f>
        <v>6130</v>
      </c>
      <c r="E25" s="26">
        <f>+[1]BS17A!$V791</f>
        <v>459750</v>
      </c>
      <c r="F25" s="8"/>
    </row>
    <row r="26" spans="1:6" ht="15" customHeight="1" x14ac:dyDescent="0.2">
      <c r="A26" s="29" t="s">
        <v>38</v>
      </c>
      <c r="B26" s="30" t="s">
        <v>39</v>
      </c>
      <c r="C26" s="31">
        <f>+[1]BS17A!$D796</f>
        <v>0</v>
      </c>
      <c r="D26" s="32">
        <f>+[1]BS17A!$U796</f>
        <v>25400</v>
      </c>
      <c r="E26" s="33">
        <f>+[1]BS17A!$V796</f>
        <v>0</v>
      </c>
      <c r="F26" s="8"/>
    </row>
    <row r="27" spans="1:6" ht="18" customHeight="1" x14ac:dyDescent="0.2">
      <c r="A27" s="242" t="s">
        <v>40</v>
      </c>
      <c r="B27" s="243"/>
      <c r="C27" s="243"/>
      <c r="D27" s="243"/>
      <c r="E27" s="244"/>
      <c r="F27" s="8"/>
    </row>
    <row r="28" spans="1:6" ht="15" customHeight="1" x14ac:dyDescent="0.2">
      <c r="A28" s="17" t="s">
        <v>41</v>
      </c>
      <c r="B28" s="18" t="s">
        <v>42</v>
      </c>
      <c r="C28" s="19">
        <f>[1]BS17A!$D27</f>
        <v>1460</v>
      </c>
      <c r="D28" s="20">
        <f>[1]BS17A!$U27</f>
        <v>990</v>
      </c>
      <c r="E28" s="21">
        <f>[1]BS17A!$V27</f>
        <v>1445400</v>
      </c>
      <c r="F28" s="8"/>
    </row>
    <row r="29" spans="1:6" ht="15" customHeight="1" x14ac:dyDescent="0.2">
      <c r="A29" s="22" t="s">
        <v>43</v>
      </c>
      <c r="B29" s="34" t="s">
        <v>44</v>
      </c>
      <c r="C29" s="24">
        <f>[1]BS17A!$D28</f>
        <v>0</v>
      </c>
      <c r="D29" s="25">
        <f>[1]BS17A!$U28</f>
        <v>1680</v>
      </c>
      <c r="E29" s="26">
        <f>[1]BS17A!$V28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24">
        <f>[1]BS17A!$D29</f>
        <v>0</v>
      </c>
      <c r="D30" s="25">
        <f>[1]BS17A!$U29</f>
        <v>530</v>
      </c>
      <c r="E30" s="26">
        <f>[1]BS17A!$V29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24">
        <f>[1]BS17A!$D30</f>
        <v>41</v>
      </c>
      <c r="D31" s="25">
        <f>[1]BS17A!$U30</f>
        <v>1340</v>
      </c>
      <c r="E31" s="26">
        <f>[1]BS17A!$V30</f>
        <v>54940</v>
      </c>
      <c r="F31" s="8"/>
    </row>
    <row r="32" spans="1:6" ht="15" customHeight="1" x14ac:dyDescent="0.2">
      <c r="A32" s="22" t="s">
        <v>49</v>
      </c>
      <c r="B32" s="23" t="s">
        <v>50</v>
      </c>
      <c r="C32" s="24">
        <f>[1]BS17A!$D31</f>
        <v>720</v>
      </c>
      <c r="D32" s="25">
        <f>[1]BS17A!$U31</f>
        <v>1070</v>
      </c>
      <c r="E32" s="26">
        <f>[1]BS17A!$V31</f>
        <v>770400</v>
      </c>
      <c r="F32" s="8"/>
    </row>
    <row r="33" spans="1:6" ht="15" customHeight="1" x14ac:dyDescent="0.2">
      <c r="A33" s="22" t="s">
        <v>51</v>
      </c>
      <c r="B33" s="34" t="s">
        <v>52</v>
      </c>
      <c r="C33" s="24">
        <f>[1]BS17A!$D32</f>
        <v>0</v>
      </c>
      <c r="D33" s="25">
        <f>[1]BS17A!$U32</f>
        <v>990</v>
      </c>
      <c r="E33" s="26">
        <f>[1]BS17A!$V32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24">
        <f>+[1]BS17A!$D792</f>
        <v>0</v>
      </c>
      <c r="D34" s="25">
        <f>+[1]BS17A!$U792</f>
        <v>2400</v>
      </c>
      <c r="E34" s="26">
        <f>+[1]BS17A!$V792</f>
        <v>0</v>
      </c>
      <c r="F34" s="8"/>
    </row>
    <row r="35" spans="1:6" ht="15" customHeight="1" x14ac:dyDescent="0.2">
      <c r="A35" s="22" t="s">
        <v>55</v>
      </c>
      <c r="B35" s="34" t="s">
        <v>56</v>
      </c>
      <c r="C35" s="24">
        <f>+[1]BS17A!$D793</f>
        <v>562</v>
      </c>
      <c r="D35" s="25">
        <f>+[1]BS17A!$U793</f>
        <v>2400</v>
      </c>
      <c r="E35" s="26">
        <f>+[1]BS17A!$V793</f>
        <v>1348800</v>
      </c>
      <c r="F35" s="8"/>
    </row>
    <row r="36" spans="1:6" ht="15" customHeight="1" x14ac:dyDescent="0.2">
      <c r="A36" s="22" t="s">
        <v>57</v>
      </c>
      <c r="B36" s="34" t="s">
        <v>58</v>
      </c>
      <c r="C36" s="24">
        <f>+[1]BS17A!$D794</f>
        <v>0</v>
      </c>
      <c r="D36" s="25">
        <f>+[1]BS17A!$U794</f>
        <v>9560</v>
      </c>
      <c r="E36" s="26">
        <f>+[1]BS17A!$V794</f>
        <v>0</v>
      </c>
      <c r="F36" s="8"/>
    </row>
    <row r="37" spans="1:6" ht="15" customHeight="1" x14ac:dyDescent="0.2">
      <c r="A37" s="29" t="s">
        <v>59</v>
      </c>
      <c r="B37" s="35" t="s">
        <v>60</v>
      </c>
      <c r="C37" s="31">
        <f>+[1]BS17A!$D795</f>
        <v>7</v>
      </c>
      <c r="D37" s="32">
        <f>+[1]BS17A!$U795</f>
        <v>11200</v>
      </c>
      <c r="E37" s="33">
        <f>+[1]BS17A!$V795</f>
        <v>78400</v>
      </c>
      <c r="F37" s="8"/>
    </row>
    <row r="38" spans="1:6" ht="18" customHeight="1" x14ac:dyDescent="0.2">
      <c r="A38" s="251" t="s">
        <v>61</v>
      </c>
      <c r="B38" s="254"/>
      <c r="C38" s="254"/>
      <c r="D38" s="254"/>
      <c r="E38" s="255"/>
      <c r="F38" s="8"/>
    </row>
    <row r="39" spans="1:6" ht="15" customHeight="1" x14ac:dyDescent="0.2">
      <c r="A39" s="17" t="s">
        <v>62</v>
      </c>
      <c r="B39" s="36" t="s">
        <v>63</v>
      </c>
      <c r="C39" s="19">
        <f>+[1]BS17A!$D797</f>
        <v>0</v>
      </c>
      <c r="D39" s="37">
        <f>+[1]BS17A!$U797</f>
        <v>2790</v>
      </c>
      <c r="E39" s="38">
        <f>+[1]BS17A!$V797</f>
        <v>0</v>
      </c>
      <c r="F39" s="8"/>
    </row>
    <row r="40" spans="1:6" ht="15" customHeight="1" x14ac:dyDescent="0.2">
      <c r="A40" s="29" t="s">
        <v>64</v>
      </c>
      <c r="B40" s="39" t="s">
        <v>65</v>
      </c>
      <c r="C40" s="31">
        <f>+[1]BS17A!$D798</f>
        <v>0</v>
      </c>
      <c r="D40" s="40">
        <f>+[1]BS17A!$U798</f>
        <v>6550</v>
      </c>
      <c r="E40" s="41">
        <f>+[1]BS17A!$V798</f>
        <v>0</v>
      </c>
      <c r="F40" s="8"/>
    </row>
    <row r="41" spans="1:6" ht="18" customHeight="1" x14ac:dyDescent="0.2">
      <c r="A41" s="251" t="s">
        <v>66</v>
      </c>
      <c r="B41" s="254"/>
      <c r="C41" s="254"/>
      <c r="D41" s="254"/>
      <c r="E41" s="255"/>
      <c r="F41" s="8"/>
    </row>
    <row r="42" spans="1:6" ht="15" customHeight="1" x14ac:dyDescent="0.2">
      <c r="A42" s="17" t="s">
        <v>67</v>
      </c>
      <c r="B42" s="42" t="s">
        <v>68</v>
      </c>
      <c r="C42" s="19">
        <f>+[1]BS17A!$D34</f>
        <v>0</v>
      </c>
      <c r="D42" s="37">
        <f>+[1]BS17A!$U34</f>
        <v>3230</v>
      </c>
      <c r="E42" s="38">
        <f>+[1]BS17A!$V34</f>
        <v>0</v>
      </c>
      <c r="F42" s="8"/>
    </row>
    <row r="43" spans="1:6" ht="15" customHeight="1" x14ac:dyDescent="0.2">
      <c r="A43" s="22" t="s">
        <v>69</v>
      </c>
      <c r="B43" s="23" t="s">
        <v>70</v>
      </c>
      <c r="C43" s="24">
        <f>+[1]BS17A!$D35</f>
        <v>128</v>
      </c>
      <c r="D43" s="25">
        <f>+[1]BS17A!$U35</f>
        <v>1780</v>
      </c>
      <c r="E43" s="26">
        <f>+[1]BS17A!$V35</f>
        <v>227840</v>
      </c>
      <c r="F43" s="8"/>
    </row>
    <row r="44" spans="1:6" ht="15" customHeight="1" x14ac:dyDescent="0.2">
      <c r="A44" s="22" t="s">
        <v>71</v>
      </c>
      <c r="B44" s="23" t="s">
        <v>72</v>
      </c>
      <c r="C44" s="24">
        <f>+[1]BS17A!$D36</f>
        <v>4</v>
      </c>
      <c r="D44" s="25">
        <f>+[1]BS17A!$U36</f>
        <v>1780</v>
      </c>
      <c r="E44" s="26">
        <f>+[1]BS17A!$V36</f>
        <v>7120</v>
      </c>
      <c r="F44" s="8"/>
    </row>
    <row r="45" spans="1:6" ht="15" customHeight="1" x14ac:dyDescent="0.2">
      <c r="A45" s="29" t="s">
        <v>73</v>
      </c>
      <c r="B45" s="43" t="s">
        <v>74</v>
      </c>
      <c r="C45" s="31">
        <f>+[1]BS17A!$D37</f>
        <v>603</v>
      </c>
      <c r="D45" s="40">
        <f>+[1]BS17A!$U37</f>
        <v>530</v>
      </c>
      <c r="E45" s="41">
        <f>+[1]BS17A!$V37</f>
        <v>319590</v>
      </c>
      <c r="F45" s="8"/>
    </row>
    <row r="46" spans="1:6" ht="18" customHeight="1" x14ac:dyDescent="0.2">
      <c r="A46" s="251" t="s">
        <v>75</v>
      </c>
      <c r="B46" s="254"/>
      <c r="C46" s="254"/>
      <c r="D46" s="254"/>
      <c r="E46" s="255"/>
      <c r="F46" s="8"/>
    </row>
    <row r="47" spans="1:6" ht="15" customHeight="1" x14ac:dyDescent="0.2">
      <c r="A47" s="17" t="s">
        <v>76</v>
      </c>
      <c r="B47" s="42" t="s">
        <v>77</v>
      </c>
      <c r="C47" s="19">
        <f>+[1]BS17A!$D39</f>
        <v>0</v>
      </c>
      <c r="D47" s="37">
        <f>+[1]BS17A!$U39</f>
        <v>1540</v>
      </c>
      <c r="E47" s="38">
        <f>+[1]BS17A!$V39</f>
        <v>0</v>
      </c>
      <c r="F47" s="8"/>
    </row>
    <row r="48" spans="1:6" ht="15" customHeight="1" x14ac:dyDescent="0.2">
      <c r="A48" s="22" t="s">
        <v>78</v>
      </c>
      <c r="B48" s="23" t="s">
        <v>79</v>
      </c>
      <c r="C48" s="24">
        <f>+[1]BS17A!$D40</f>
        <v>11</v>
      </c>
      <c r="D48" s="25">
        <f>+[1]BS17A!$U40</f>
        <v>1540</v>
      </c>
      <c r="E48" s="26">
        <f>+[1]BS17A!$V40</f>
        <v>16940</v>
      </c>
      <c r="F48" s="8"/>
    </row>
    <row r="49" spans="1:7" ht="15" customHeight="1" x14ac:dyDescent="0.2">
      <c r="A49" s="29" t="s">
        <v>80</v>
      </c>
      <c r="B49" s="43" t="s">
        <v>81</v>
      </c>
      <c r="C49" s="31">
        <f>+[1]BS17A!$D41</f>
        <v>0</v>
      </c>
      <c r="D49" s="40">
        <f>+[1]BS17A!$U41</f>
        <v>880</v>
      </c>
      <c r="E49" s="41">
        <f>+[1]BS17A!$V41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16623</v>
      </c>
      <c r="D50" s="46"/>
      <c r="E50" s="47">
        <f>SUM(E14:E49)</f>
        <v>89740960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251" t="s">
        <v>83</v>
      </c>
      <c r="B53" s="254"/>
      <c r="C53" s="254"/>
      <c r="D53" s="254"/>
      <c r="E53" s="255"/>
      <c r="F53" s="51"/>
      <c r="G53" s="52"/>
    </row>
    <row r="54" spans="1:7" ht="38.25" x14ac:dyDescent="0.2">
      <c r="A54" s="11" t="s">
        <v>8</v>
      </c>
      <c r="B54" s="11" t="s">
        <v>84</v>
      </c>
      <c r="C54" s="12" t="s">
        <v>10</v>
      </c>
      <c r="D54" s="53"/>
      <c r="E54" s="14" t="s">
        <v>12</v>
      </c>
      <c r="F54" s="8"/>
    </row>
    <row r="55" spans="1:7" ht="18" customHeight="1" x14ac:dyDescent="0.2">
      <c r="A55" s="54" t="s">
        <v>85</v>
      </c>
      <c r="B55" s="55" t="s">
        <v>86</v>
      </c>
      <c r="C55" s="56">
        <f>+[1]BS17!$D12</f>
        <v>44410</v>
      </c>
      <c r="D55" s="57"/>
      <c r="E55" s="58">
        <f>+E56+E57+E58+E59+E60+E61+E65+E66+E67</f>
        <v>55311350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+[1]BS17!$D13</f>
        <v>17573</v>
      </c>
      <c r="D56" s="61"/>
      <c r="E56" s="62">
        <f>+[1]BS17A!V83</f>
        <v>17372540</v>
      </c>
      <c r="F56" s="8"/>
    </row>
    <row r="57" spans="1:7" ht="15" customHeight="1" x14ac:dyDescent="0.2">
      <c r="A57" s="22" t="s">
        <v>89</v>
      </c>
      <c r="B57" s="28" t="s">
        <v>90</v>
      </c>
      <c r="C57" s="24">
        <f>+[1]BS17!$D14</f>
        <v>18385</v>
      </c>
      <c r="D57" s="63"/>
      <c r="E57" s="64">
        <f>+[1]BS17A!V174</f>
        <v>18929070</v>
      </c>
      <c r="F57" s="8"/>
    </row>
    <row r="58" spans="1:7" ht="15" customHeight="1" x14ac:dyDescent="0.2">
      <c r="A58" s="22" t="s">
        <v>91</v>
      </c>
      <c r="B58" s="28" t="s">
        <v>92</v>
      </c>
      <c r="C58" s="24">
        <f>+[1]BS17!$D15</f>
        <v>1122</v>
      </c>
      <c r="D58" s="63"/>
      <c r="E58" s="64">
        <f>+[1]BS17A!V243</f>
        <v>3470530</v>
      </c>
      <c r="F58" s="8"/>
    </row>
    <row r="59" spans="1:7" ht="15" customHeight="1" x14ac:dyDescent="0.2">
      <c r="A59" s="22" t="s">
        <v>93</v>
      </c>
      <c r="B59" s="28" t="s">
        <v>94</v>
      </c>
      <c r="C59" s="24">
        <f>+[1]BS17!$D16</f>
        <v>0</v>
      </c>
      <c r="D59" s="63"/>
      <c r="E59" s="64">
        <f>+[1]BS17A!V289</f>
        <v>0</v>
      </c>
      <c r="F59" s="8"/>
    </row>
    <row r="60" spans="1:7" ht="15" customHeight="1" x14ac:dyDescent="0.2">
      <c r="A60" s="65" t="s">
        <v>95</v>
      </c>
      <c r="B60" s="30" t="s">
        <v>96</v>
      </c>
      <c r="C60" s="66">
        <f>+[1]BS17!$D17</f>
        <v>1000</v>
      </c>
      <c r="D60" s="67"/>
      <c r="E60" s="68">
        <f>+[1]BS17A!V295</f>
        <v>4052130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+[1]BS17!$D18</f>
        <v>3999</v>
      </c>
      <c r="D61" s="71"/>
      <c r="E61" s="72">
        <f>SUM(E62:E64)</f>
        <v>9029390</v>
      </c>
      <c r="F61" s="8"/>
    </row>
    <row r="62" spans="1:7" ht="15" customHeight="1" x14ac:dyDescent="0.2">
      <c r="A62" s="73"/>
      <c r="B62" s="42" t="s">
        <v>99</v>
      </c>
      <c r="C62" s="19">
        <f>+[1]BS17!$D19</f>
        <v>3390</v>
      </c>
      <c r="D62" s="74"/>
      <c r="E62" s="75">
        <f>+[1]BS17A!V362</f>
        <v>6893600</v>
      </c>
      <c r="F62" s="8"/>
    </row>
    <row r="63" spans="1:7" ht="15" customHeight="1" x14ac:dyDescent="0.2">
      <c r="A63" s="73"/>
      <c r="B63" s="28" t="s">
        <v>100</v>
      </c>
      <c r="C63" s="24">
        <f>+[1]BS17!$D20</f>
        <v>72</v>
      </c>
      <c r="D63" s="63"/>
      <c r="E63" s="64">
        <f>+[1]BS17A!V405</f>
        <v>160610</v>
      </c>
      <c r="F63" s="8"/>
    </row>
    <row r="64" spans="1:7" ht="15" customHeight="1" x14ac:dyDescent="0.2">
      <c r="A64" s="76"/>
      <c r="B64" s="43" t="s">
        <v>101</v>
      </c>
      <c r="C64" s="31">
        <f>+[1]BS17!$D21</f>
        <v>537</v>
      </c>
      <c r="D64" s="77"/>
      <c r="E64" s="78">
        <f>+[1]BS17A!V428</f>
        <v>1975180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+[1]BS17!$D22</f>
        <v>0</v>
      </c>
      <c r="D65" s="61"/>
      <c r="E65" s="62">
        <f>+[1]BS17A!V446</f>
        <v>0</v>
      </c>
      <c r="F65" s="8"/>
    </row>
    <row r="66" spans="1:7" ht="15" customHeight="1" x14ac:dyDescent="0.2">
      <c r="A66" s="22" t="s">
        <v>104</v>
      </c>
      <c r="B66" s="28" t="s">
        <v>105</v>
      </c>
      <c r="C66" s="24">
        <f>+[1]BS17!$D23</f>
        <v>42</v>
      </c>
      <c r="D66" s="63"/>
      <c r="E66" s="64">
        <f>+[1]BS17A!V456</f>
        <v>59090</v>
      </c>
      <c r="F66" s="8"/>
    </row>
    <row r="67" spans="1:7" ht="15" customHeight="1" x14ac:dyDescent="0.2">
      <c r="A67" s="65" t="s">
        <v>106</v>
      </c>
      <c r="B67" s="30" t="s">
        <v>107</v>
      </c>
      <c r="C67" s="66">
        <f>+[1]BS17!$D24</f>
        <v>2289</v>
      </c>
      <c r="D67" s="67"/>
      <c r="E67" s="68">
        <f>+[1]BS17A!V500</f>
        <v>2398600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+[1]BS17!$D25</f>
        <v>3593</v>
      </c>
      <c r="D68" s="83"/>
      <c r="E68" s="84">
        <f>SUM(E69:E74)</f>
        <v>48773720</v>
      </c>
      <c r="F68" s="8"/>
    </row>
    <row r="69" spans="1:7" ht="15" customHeight="1" x14ac:dyDescent="0.2">
      <c r="A69" s="22" t="s">
        <v>110</v>
      </c>
      <c r="B69" s="28" t="s">
        <v>111</v>
      </c>
      <c r="C69" s="24">
        <f>+[1]BS17!$D26</f>
        <v>2159</v>
      </c>
      <c r="D69" s="63"/>
      <c r="E69" s="64">
        <f>+[1]BS17A!V535</f>
        <v>14955820</v>
      </c>
      <c r="F69" s="8"/>
    </row>
    <row r="70" spans="1:7" ht="15" customHeight="1" x14ac:dyDescent="0.2">
      <c r="A70" s="22" t="s">
        <v>112</v>
      </c>
      <c r="B70" s="28" t="s">
        <v>113</v>
      </c>
      <c r="C70" s="24">
        <f>+[1]BS17!$D27</f>
        <v>2</v>
      </c>
      <c r="D70" s="63"/>
      <c r="E70" s="64">
        <f>+[1]BS17A!V590</f>
        <v>41380</v>
      </c>
      <c r="F70" s="8"/>
    </row>
    <row r="71" spans="1:7" ht="15" customHeight="1" x14ac:dyDescent="0.2">
      <c r="A71" s="22" t="s">
        <v>114</v>
      </c>
      <c r="B71" s="28" t="s">
        <v>115</v>
      </c>
      <c r="C71" s="24">
        <f>+[1]BS17!$D28</f>
        <v>452</v>
      </c>
      <c r="D71" s="63"/>
      <c r="E71" s="64">
        <f>+[1]BS17A!V615</f>
        <v>21032710</v>
      </c>
      <c r="F71" s="8"/>
    </row>
    <row r="72" spans="1:7" ht="15" customHeight="1" x14ac:dyDescent="0.2">
      <c r="A72" s="22" t="s">
        <v>116</v>
      </c>
      <c r="B72" s="28" t="s">
        <v>117</v>
      </c>
      <c r="C72" s="24">
        <f>+[1]BS17!$D30+[1]BS17!$D32</f>
        <v>980</v>
      </c>
      <c r="D72" s="63"/>
      <c r="E72" s="64">
        <f>+[1]BS17A!V633-[1]BS17A!V634</f>
        <v>12743810</v>
      </c>
      <c r="F72" s="8"/>
    </row>
    <row r="73" spans="1:7" ht="15" customHeight="1" x14ac:dyDescent="0.2">
      <c r="A73" s="85"/>
      <c r="B73" s="28" t="s">
        <v>118</v>
      </c>
      <c r="C73" s="24">
        <f>+[1]BS17!$D31</f>
        <v>0</v>
      </c>
      <c r="D73" s="63"/>
      <c r="E73" s="64">
        <f>+[1]BS17A!V634</f>
        <v>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+[1]BS17!$D33</f>
        <v>0</v>
      </c>
      <c r="D74" s="89"/>
      <c r="E74" s="90">
        <f>+[1]BS17A!V654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+[1]BS17!$D34</f>
        <v>0</v>
      </c>
      <c r="D75" s="94"/>
      <c r="E75" s="95">
        <f>+[1]BS17A!V779</f>
        <v>0</v>
      </c>
      <c r="F75" s="8"/>
    </row>
    <row r="76" spans="1:7" ht="15" customHeight="1" x14ac:dyDescent="0.2">
      <c r="A76" s="96"/>
      <c r="B76" s="97" t="s">
        <v>123</v>
      </c>
      <c r="C76" s="56">
        <f>+C55+C68+C75</f>
        <v>48003</v>
      </c>
      <c r="D76" s="57"/>
      <c r="E76" s="98">
        <f>+E55+E68+E75</f>
        <v>104085070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256" t="s">
        <v>124</v>
      </c>
      <c r="B79" s="252"/>
      <c r="C79" s="252"/>
      <c r="D79" s="252"/>
      <c r="E79" s="253"/>
      <c r="F79" s="51"/>
      <c r="G79" s="52"/>
    </row>
    <row r="80" spans="1:7" ht="38.25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19">
        <f>+[1]BS17!D49</f>
        <v>0</v>
      </c>
      <c r="D81" s="61"/>
      <c r="E81" s="103">
        <f>+SUM([1]BS17A!V670+[1]BS17A!V697+[1]BS17A!V716+[1]BS17A!V723+[1]BS17A!V726+[1]BS17A!V743+[1]BS17A!V760)</f>
        <v>0</v>
      </c>
      <c r="F81" s="8"/>
    </row>
    <row r="82" spans="1:6" ht="15" customHeight="1" x14ac:dyDescent="0.2">
      <c r="A82" s="104">
        <v>2001</v>
      </c>
      <c r="B82" s="28" t="s">
        <v>127</v>
      </c>
      <c r="C82" s="24">
        <f>+[1]BS17!E120</f>
        <v>1648</v>
      </c>
      <c r="D82" s="63"/>
      <c r="E82" s="105">
        <f>+[1]BS17A!V1562</f>
        <v>11786930</v>
      </c>
      <c r="F82" s="8"/>
    </row>
    <row r="83" spans="1:6" ht="15" customHeight="1" x14ac:dyDescent="0.2">
      <c r="A83" s="65" t="s">
        <v>128</v>
      </c>
      <c r="B83" s="30" t="s">
        <v>129</v>
      </c>
      <c r="C83" s="66">
        <f>+[1]BS17A!D1837</f>
        <v>29</v>
      </c>
      <c r="D83" s="67"/>
      <c r="E83" s="106">
        <f>+[1]BS17A!V1837</f>
        <v>1738750</v>
      </c>
      <c r="F83" s="8"/>
    </row>
    <row r="84" spans="1:6" ht="17.25" customHeight="1" x14ac:dyDescent="0.2">
      <c r="A84" s="96"/>
      <c r="B84" s="97" t="s">
        <v>130</v>
      </c>
      <c r="C84" s="56">
        <f>+SUM(C81:C83)</f>
        <v>1677</v>
      </c>
      <c r="D84" s="57"/>
      <c r="E84" s="107">
        <f>SUM(E81:E83)</f>
        <v>13525680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239" t="s">
        <v>131</v>
      </c>
      <c r="B87" s="240"/>
      <c r="C87" s="240"/>
      <c r="D87" s="240"/>
      <c r="E87" s="240"/>
      <c r="F87" s="241"/>
    </row>
    <row r="88" spans="1:6" ht="33.75" customHeight="1" x14ac:dyDescent="0.15">
      <c r="A88" s="260" t="s">
        <v>8</v>
      </c>
      <c r="B88" s="260" t="s">
        <v>9</v>
      </c>
      <c r="C88" s="242" t="s">
        <v>10</v>
      </c>
      <c r="D88" s="243"/>
      <c r="E88" s="243"/>
      <c r="F88" s="244"/>
    </row>
    <row r="89" spans="1:6" ht="35.25" customHeight="1" x14ac:dyDescent="0.15">
      <c r="A89" s="261"/>
      <c r="B89" s="261"/>
      <c r="C89" s="99" t="s">
        <v>132</v>
      </c>
      <c r="D89" s="108" t="s">
        <v>133</v>
      </c>
      <c r="E89" s="13" t="s">
        <v>134</v>
      </c>
      <c r="F89" s="1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+[1]BS17!F66</f>
        <v>0</v>
      </c>
      <c r="D90" s="110">
        <f>+[1]BS17!G66</f>
        <v>0</v>
      </c>
      <c r="E90" s="111">
        <f>+[1]BS17!H66</f>
        <v>0</v>
      </c>
      <c r="F90" s="112">
        <f>[1]BS17A!V807</f>
        <v>0</v>
      </c>
    </row>
    <row r="91" spans="1:6" ht="15" customHeight="1" x14ac:dyDescent="0.2">
      <c r="A91" s="22" t="s">
        <v>137</v>
      </c>
      <c r="B91" s="28" t="s">
        <v>138</v>
      </c>
      <c r="C91" s="113">
        <f>+[1]BS17!F67</f>
        <v>218</v>
      </c>
      <c r="D91" s="114">
        <f>+[1]BS17!G67</f>
        <v>0</v>
      </c>
      <c r="E91" s="115">
        <f>+[1]BS17!H67</f>
        <v>0</v>
      </c>
      <c r="F91" s="116">
        <f>[1]BS17A!V878</f>
        <v>95825090</v>
      </c>
    </row>
    <row r="92" spans="1:6" ht="15" customHeight="1" x14ac:dyDescent="0.2">
      <c r="A92" s="22" t="s">
        <v>139</v>
      </c>
      <c r="B92" s="28" t="s">
        <v>140</v>
      </c>
      <c r="C92" s="113">
        <f>+[1]BS17!F68</f>
        <v>12</v>
      </c>
      <c r="D92" s="114">
        <f>+[1]BS17!G68</f>
        <v>0</v>
      </c>
      <c r="E92" s="115">
        <f>+[1]BS17!H68</f>
        <v>0</v>
      </c>
      <c r="F92" s="116">
        <f>[1]BS17A!V957</f>
        <v>1116370</v>
      </c>
    </row>
    <row r="93" spans="1:6" ht="15" customHeight="1" x14ac:dyDescent="0.2">
      <c r="A93" s="22" t="s">
        <v>141</v>
      </c>
      <c r="B93" s="28" t="s">
        <v>142</v>
      </c>
      <c r="C93" s="113">
        <f>+[1]BS17!F69</f>
        <v>3</v>
      </c>
      <c r="D93" s="114">
        <f>+[1]BS17!G69</f>
        <v>0</v>
      </c>
      <c r="E93" s="115">
        <f>+[1]BS17!H69</f>
        <v>0</v>
      </c>
      <c r="F93" s="116">
        <f>[1]BS17A!V1033</f>
        <v>353240</v>
      </c>
    </row>
    <row r="94" spans="1:6" ht="15" customHeight="1" x14ac:dyDescent="0.2">
      <c r="A94" s="22" t="s">
        <v>143</v>
      </c>
      <c r="B94" s="28" t="s">
        <v>144</v>
      </c>
      <c r="C94" s="113">
        <f>+[1]BS17!F70</f>
        <v>126</v>
      </c>
      <c r="D94" s="114">
        <f>+[1]BS17!G70</f>
        <v>2</v>
      </c>
      <c r="E94" s="115">
        <f>+[1]BS17!H70</f>
        <v>0</v>
      </c>
      <c r="F94" s="116">
        <f>[1]BS17A!V1094</f>
        <v>5042200</v>
      </c>
    </row>
    <row r="95" spans="1:6" ht="15" customHeight="1" x14ac:dyDescent="0.2">
      <c r="A95" s="22" t="s">
        <v>145</v>
      </c>
      <c r="B95" s="28" t="s">
        <v>146</v>
      </c>
      <c r="C95" s="113">
        <f>+[1]BS17!F71</f>
        <v>182</v>
      </c>
      <c r="D95" s="114">
        <f>+[1]BS17!G71</f>
        <v>0</v>
      </c>
      <c r="E95" s="115">
        <f>+[1]BS17!H71</f>
        <v>0</v>
      </c>
      <c r="F95" s="116">
        <f>[1]BS17A!V1162</f>
        <v>3883730</v>
      </c>
    </row>
    <row r="96" spans="1:6" ht="15" customHeight="1" x14ac:dyDescent="0.2">
      <c r="A96" s="22" t="s">
        <v>147</v>
      </c>
      <c r="B96" s="28" t="s">
        <v>148</v>
      </c>
      <c r="C96" s="113">
        <f>+[1]BS17!F72</f>
        <v>5</v>
      </c>
      <c r="D96" s="114">
        <f>+[1]BS17!G72</f>
        <v>1</v>
      </c>
      <c r="E96" s="115">
        <f>+[1]BS17!H72</f>
        <v>0</v>
      </c>
      <c r="F96" s="116">
        <f>[1]BS17A!V1210</f>
        <v>608290</v>
      </c>
    </row>
    <row r="97" spans="1:6" ht="15" customHeight="1" x14ac:dyDescent="0.2">
      <c r="A97" s="22" t="s">
        <v>149</v>
      </c>
      <c r="B97" s="28" t="s">
        <v>150</v>
      </c>
      <c r="C97" s="113">
        <f>+[1]BS17!F73</f>
        <v>1</v>
      </c>
      <c r="D97" s="114">
        <f>+[1]BS17!G73</f>
        <v>0</v>
      </c>
      <c r="E97" s="115">
        <f>+[1]BS17!H73</f>
        <v>0</v>
      </c>
      <c r="F97" s="116">
        <f>[1]BS17A!V1276</f>
        <v>196330</v>
      </c>
    </row>
    <row r="98" spans="1:6" ht="15" customHeight="1" x14ac:dyDescent="0.2">
      <c r="A98" s="22" t="s">
        <v>151</v>
      </c>
      <c r="B98" s="28" t="s">
        <v>152</v>
      </c>
      <c r="C98" s="113">
        <f>+[1]BS17!F74</f>
        <v>124</v>
      </c>
      <c r="D98" s="114">
        <f>+[1]BS17!G74</f>
        <v>8</v>
      </c>
      <c r="E98" s="115">
        <f>+[1]BS17!H74</f>
        <v>0</v>
      </c>
      <c r="F98" s="116">
        <f>[1]BS17A!V1346</f>
        <v>26497210</v>
      </c>
    </row>
    <row r="99" spans="1:6" ht="15" customHeight="1" x14ac:dyDescent="0.2">
      <c r="A99" s="22" t="s">
        <v>153</v>
      </c>
      <c r="B99" s="28" t="s">
        <v>154</v>
      </c>
      <c r="C99" s="113">
        <f>+[1]BS17!F75</f>
        <v>10</v>
      </c>
      <c r="D99" s="114">
        <f>+[1]BS17!G75</f>
        <v>0</v>
      </c>
      <c r="E99" s="115">
        <f>+[1]BS17!H75</f>
        <v>0</v>
      </c>
      <c r="F99" s="116">
        <f>[1]BS17A!V1430</f>
        <v>632040</v>
      </c>
    </row>
    <row r="100" spans="1:6" ht="15" customHeight="1" x14ac:dyDescent="0.2">
      <c r="A100" s="22" t="s">
        <v>155</v>
      </c>
      <c r="B100" s="28" t="s">
        <v>156</v>
      </c>
      <c r="C100" s="113">
        <f>+[1]BS17!F76</f>
        <v>31</v>
      </c>
      <c r="D100" s="114">
        <f>+[1]BS17!G76</f>
        <v>0</v>
      </c>
      <c r="E100" s="115">
        <f>+[1]BS17!H76</f>
        <v>0</v>
      </c>
      <c r="F100" s="116">
        <f>[1]BS17A!V1477</f>
        <v>4375140</v>
      </c>
    </row>
    <row r="101" spans="1:6" ht="15" customHeight="1" x14ac:dyDescent="0.2">
      <c r="A101" s="22" t="s">
        <v>157</v>
      </c>
      <c r="B101" s="28" t="s">
        <v>158</v>
      </c>
      <c r="C101" s="113">
        <f>+[1]BS17!F77</f>
        <v>4</v>
      </c>
      <c r="D101" s="114">
        <f>+[1]BS17!G77</f>
        <v>0</v>
      </c>
      <c r="E101" s="115">
        <f>+[1]BS17!H77</f>
        <v>0</v>
      </c>
      <c r="F101" s="116">
        <f>[1]BS17A!V1580</f>
        <v>889080</v>
      </c>
    </row>
    <row r="102" spans="1:6" ht="15" customHeight="1" x14ac:dyDescent="0.2">
      <c r="A102" s="65" t="s">
        <v>159</v>
      </c>
      <c r="B102" s="30" t="s">
        <v>160</v>
      </c>
      <c r="C102" s="117">
        <f>+[1]BS17!F78</f>
        <v>24</v>
      </c>
      <c r="D102" s="118">
        <f>+[1]BS17!G78</f>
        <v>4</v>
      </c>
      <c r="E102" s="119">
        <f>+[1]BS17!H78</f>
        <v>0</v>
      </c>
      <c r="F102" s="120">
        <f>[1]BS17A!V1585</f>
        <v>4775490</v>
      </c>
    </row>
    <row r="103" spans="1:6" ht="15" customHeight="1" x14ac:dyDescent="0.2">
      <c r="A103" s="17" t="s">
        <v>161</v>
      </c>
      <c r="B103" s="36" t="s">
        <v>162</v>
      </c>
      <c r="C103" s="109">
        <f>+[1]BS17!F79</f>
        <v>80</v>
      </c>
      <c r="D103" s="110">
        <f>+[1]BS17!G79</f>
        <v>0</v>
      </c>
      <c r="E103" s="111">
        <f>+[1]BS17!H79</f>
        <v>0</v>
      </c>
      <c r="F103" s="112">
        <f>+[1]BS17A!V1619</f>
        <v>8246750</v>
      </c>
    </row>
    <row r="104" spans="1:6" ht="15" customHeight="1" x14ac:dyDescent="0.2">
      <c r="A104" s="22"/>
      <c r="B104" s="28" t="s">
        <v>163</v>
      </c>
      <c r="C104" s="113">
        <f>+[1]BS17A!D1623</f>
        <v>0</v>
      </c>
      <c r="D104" s="114">
        <f>+[1]BS17A!F1623</f>
        <v>0</v>
      </c>
      <c r="E104" s="115">
        <f>+[1]BS17A!G1623</f>
        <v>0</v>
      </c>
      <c r="F104" s="116">
        <f>+[1]BS17A!V1623</f>
        <v>0</v>
      </c>
    </row>
    <row r="105" spans="1:6" ht="15" customHeight="1" x14ac:dyDescent="0.2">
      <c r="A105" s="22"/>
      <c r="B105" s="28" t="s">
        <v>164</v>
      </c>
      <c r="C105" s="113">
        <f>+[1]BS17A!D1622</f>
        <v>46</v>
      </c>
      <c r="D105" s="114">
        <f>+[1]BS17A!F1622</f>
        <v>0</v>
      </c>
      <c r="E105" s="115">
        <f>+[1]BS17A!G1622</f>
        <v>0</v>
      </c>
      <c r="F105" s="116">
        <f>+[1]BS17A!V1622</f>
        <v>5270220</v>
      </c>
    </row>
    <row r="106" spans="1:6" ht="15" customHeight="1" x14ac:dyDescent="0.2">
      <c r="A106" s="29"/>
      <c r="B106" s="39" t="s">
        <v>165</v>
      </c>
      <c r="C106" s="121">
        <f>+[1]BS17A!D1620+[1]BS17A!D1621</f>
        <v>34</v>
      </c>
      <c r="D106" s="122">
        <f>+[1]BS17A!F1620+[1]BS17A!F1621</f>
        <v>0</v>
      </c>
      <c r="E106" s="123">
        <f>+[1]BS17A!G1620+[1]BS17A!G1621</f>
        <v>0</v>
      </c>
      <c r="F106" s="124">
        <f>+[1]BS17A!V1620+[1]BS17A!V1621</f>
        <v>2976530</v>
      </c>
    </row>
    <row r="107" spans="1:6" ht="15" customHeight="1" x14ac:dyDescent="0.2">
      <c r="A107" s="59" t="s">
        <v>166</v>
      </c>
      <c r="B107" s="79" t="s">
        <v>167</v>
      </c>
      <c r="C107" s="125">
        <f>+[1]BS17!F80</f>
        <v>40</v>
      </c>
      <c r="D107" s="126">
        <f>+[1]BS17!G80</f>
        <v>3</v>
      </c>
      <c r="E107" s="127">
        <f>+[1]BS17!H80</f>
        <v>0</v>
      </c>
      <c r="F107" s="128">
        <f>+[1]BS17A!V1627</f>
        <v>5598205</v>
      </c>
    </row>
    <row r="108" spans="1:6" ht="15" customHeight="1" x14ac:dyDescent="0.2">
      <c r="A108" s="129">
        <v>2106</v>
      </c>
      <c r="B108" s="39" t="s">
        <v>168</v>
      </c>
      <c r="C108" s="121">
        <f>[1]BS17A!D1833</f>
        <v>2</v>
      </c>
      <c r="D108" s="122">
        <f>[1]BS17A!F1833</f>
        <v>0</v>
      </c>
      <c r="E108" s="123">
        <f>[1]BS17A!G1833</f>
        <v>0</v>
      </c>
      <c r="F108" s="124">
        <f>+[1]BS17A!V1833</f>
        <v>95820</v>
      </c>
    </row>
    <row r="109" spans="1:6" ht="15" customHeight="1" x14ac:dyDescent="0.2">
      <c r="A109" s="130"/>
      <c r="B109" s="131" t="s">
        <v>169</v>
      </c>
      <c r="C109" s="132">
        <f>SUM(C90:C108)-C103</f>
        <v>862</v>
      </c>
      <c r="D109" s="133">
        <f>SUM(D90:D108)-D103</f>
        <v>18</v>
      </c>
      <c r="E109" s="134">
        <f>+SUM(E90:E103)+E107+E108</f>
        <v>0</v>
      </c>
      <c r="F109" s="135">
        <f>+SUM(F90:F103)+F107+F108</f>
        <v>158134985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256" t="s">
        <v>170</v>
      </c>
      <c r="B112" s="252"/>
      <c r="C112" s="252"/>
      <c r="D112" s="252"/>
      <c r="E112" s="253"/>
      <c r="F112" s="5"/>
    </row>
    <row r="113" spans="1:6" ht="38.25" x14ac:dyDescent="0.2">
      <c r="A113" s="11" t="s">
        <v>8</v>
      </c>
      <c r="B113" s="11" t="s">
        <v>9</v>
      </c>
      <c r="C113" s="12" t="s">
        <v>10</v>
      </c>
      <c r="D113" s="13" t="s">
        <v>11</v>
      </c>
      <c r="E113" s="1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19">
        <f>+[1]BS17A!D1624</f>
        <v>100</v>
      </c>
      <c r="D114" s="136">
        <f>+[1]BS17A!U1624</f>
        <v>114560</v>
      </c>
      <c r="E114" s="137">
        <f>+[1]BS17A!V1624</f>
        <v>11456000</v>
      </c>
      <c r="F114" s="8"/>
    </row>
    <row r="115" spans="1:6" ht="15" customHeight="1" x14ac:dyDescent="0.2">
      <c r="A115" s="29" t="s">
        <v>173</v>
      </c>
      <c r="B115" s="138" t="s">
        <v>174</v>
      </c>
      <c r="C115" s="66">
        <f>+[1]BS17A!D1625</f>
        <v>14</v>
      </c>
      <c r="D115" s="139">
        <f>+[1]BS17A!U1625</f>
        <v>120540</v>
      </c>
      <c r="E115" s="106">
        <f>+[1]BS17A!V1625</f>
        <v>1687560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114</v>
      </c>
      <c r="D116" s="57"/>
      <c r="E116" s="107">
        <f>SUM(E114:E115)</f>
        <v>13143560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262" t="s">
        <v>176</v>
      </c>
      <c r="B119" s="262"/>
      <c r="C119" s="262"/>
      <c r="D119" s="8"/>
      <c r="E119" s="8"/>
      <c r="F119" s="5"/>
    </row>
    <row r="120" spans="1:6" ht="28.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+[1]BS17A!V1859+[1]BS17A!V1876+[1]BS17A!V1895</f>
        <v>13724100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256" t="s">
        <v>179</v>
      </c>
      <c r="B124" s="252"/>
      <c r="C124" s="252"/>
      <c r="D124" s="252"/>
      <c r="E124" s="253"/>
      <c r="F124" s="5"/>
    </row>
    <row r="125" spans="1:6" ht="38.25" x14ac:dyDescent="0.2">
      <c r="A125" s="11" t="s">
        <v>8</v>
      </c>
      <c r="B125" s="11" t="s">
        <v>9</v>
      </c>
      <c r="C125" s="12" t="s">
        <v>10</v>
      </c>
      <c r="D125" s="13" t="s">
        <v>11</v>
      </c>
      <c r="E125" s="1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19">
        <f>+[1]BS17A!$D59</f>
        <v>4573</v>
      </c>
      <c r="D126" s="37">
        <f>+[1]BS17A!$U59</f>
        <v>29340</v>
      </c>
      <c r="E126" s="145">
        <f>+[1]BS17A!$V59</f>
        <v>134171820</v>
      </c>
      <c r="F126" s="8"/>
    </row>
    <row r="127" spans="1:6" ht="15" customHeight="1" x14ac:dyDescent="0.2">
      <c r="A127" s="22" t="s">
        <v>182</v>
      </c>
      <c r="B127" s="23" t="s">
        <v>183</v>
      </c>
      <c r="C127" s="24">
        <f>+[1]BS17A!$D60</f>
        <v>0</v>
      </c>
      <c r="D127" s="25">
        <f>+[1]BS17A!$U60</f>
        <v>27010</v>
      </c>
      <c r="E127" s="146">
        <f>+[1]BS17A!$V60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24">
        <f>+[1]BS17A!$D61</f>
        <v>0</v>
      </c>
      <c r="D128" s="25">
        <f>+[1]BS17A!$U61</f>
        <v>22520</v>
      </c>
      <c r="E128" s="146">
        <f>+[1]BS17A!$V61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24">
        <f>SUM([1]BS17A!D62:D64)</f>
        <v>0</v>
      </c>
      <c r="D129" s="25">
        <f>+[1]BS17A!$U62</f>
        <v>121970</v>
      </c>
      <c r="E129" s="146">
        <f>SUM([1]BS17A!V62:V64)</f>
        <v>0</v>
      </c>
      <c r="F129" s="8"/>
    </row>
    <row r="130" spans="1:6" ht="15" customHeight="1" x14ac:dyDescent="0.2">
      <c r="A130" s="22" t="s">
        <v>188</v>
      </c>
      <c r="B130" s="23" t="s">
        <v>189</v>
      </c>
      <c r="C130" s="24">
        <f>SUM([1]BS17A!D65:D67)</f>
        <v>232</v>
      </c>
      <c r="D130" s="25">
        <f>+[1]BS17A!$U65</f>
        <v>58920</v>
      </c>
      <c r="E130" s="146">
        <f>SUM([1]BS17A!V65:V67)</f>
        <v>13669440</v>
      </c>
      <c r="F130" s="8"/>
    </row>
    <row r="131" spans="1:6" ht="15" customHeight="1" x14ac:dyDescent="0.2">
      <c r="A131" s="22" t="s">
        <v>190</v>
      </c>
      <c r="B131" s="23" t="s">
        <v>191</v>
      </c>
      <c r="C131" s="24">
        <f>+[1]BS17A!D68</f>
        <v>138</v>
      </c>
      <c r="D131" s="25">
        <f>+[1]BS17A!$U68</f>
        <v>52860</v>
      </c>
      <c r="E131" s="146">
        <f>+[1]BS17A!$V68</f>
        <v>7294680</v>
      </c>
      <c r="F131" s="8"/>
    </row>
    <row r="132" spans="1:6" ht="15" customHeight="1" x14ac:dyDescent="0.2">
      <c r="A132" s="22" t="s">
        <v>192</v>
      </c>
      <c r="B132" s="23" t="s">
        <v>193</v>
      </c>
      <c r="C132" s="24">
        <f>+[1]BS17A!$D69</f>
        <v>0</v>
      </c>
      <c r="D132" s="25">
        <f>+[1]BS17A!$U69</f>
        <v>15000</v>
      </c>
      <c r="E132" s="146">
        <f>+[1]BS17A!$V69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24">
        <f>+[1]BS17A!$D70</f>
        <v>0</v>
      </c>
      <c r="D133" s="25">
        <f>+[1]BS17A!$U70</f>
        <v>23500</v>
      </c>
      <c r="E133" s="146">
        <f>+[1]BS17A!$V70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24">
        <f>+[1]BS17A!$D73</f>
        <v>0</v>
      </c>
      <c r="D134" s="25">
        <f>+[1]BS17A!$U73</f>
        <v>23690</v>
      </c>
      <c r="E134" s="146">
        <f>+[1]BS17A!$V73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24">
        <f>+[1]BS17A!$D71</f>
        <v>0</v>
      </c>
      <c r="D135" s="25">
        <f>+[1]BS17A!$U71</f>
        <v>24460</v>
      </c>
      <c r="E135" s="146">
        <f>+[1]BS17A!$V71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24">
        <f>+[1]BS17A!$D76</f>
        <v>0</v>
      </c>
      <c r="D136" s="25">
        <f>+[1]BS17A!$U76</f>
        <v>29340</v>
      </c>
      <c r="E136" s="146">
        <f>+[1]BS17A!$V76</f>
        <v>0</v>
      </c>
      <c r="F136" s="8"/>
    </row>
    <row r="137" spans="1:6" ht="15" customHeight="1" x14ac:dyDescent="0.2">
      <c r="A137" s="22" t="s">
        <v>202</v>
      </c>
      <c r="B137" s="28" t="s">
        <v>203</v>
      </c>
      <c r="C137" s="24">
        <f>+[1]BS17A!$D79</f>
        <v>0</v>
      </c>
      <c r="D137" s="25">
        <f>+[1]BS17A!$U79</f>
        <v>5690</v>
      </c>
      <c r="E137" s="146">
        <f>+[1]BS17A!$V79</f>
        <v>0</v>
      </c>
      <c r="F137" s="8"/>
    </row>
    <row r="138" spans="1:6" ht="15" customHeight="1" x14ac:dyDescent="0.2">
      <c r="A138" s="22" t="s">
        <v>204</v>
      </c>
      <c r="B138" s="28" t="s">
        <v>205</v>
      </c>
      <c r="C138" s="24">
        <f>+[1]BS17A!$D80</f>
        <v>0</v>
      </c>
      <c r="D138" s="25">
        <f>+[1]BS17A!$U80</f>
        <v>41110</v>
      </c>
      <c r="E138" s="146">
        <f>+[1]BS17A!$V80</f>
        <v>0</v>
      </c>
      <c r="F138" s="8"/>
    </row>
    <row r="139" spans="1:6" ht="15" customHeight="1" x14ac:dyDescent="0.2">
      <c r="A139" s="29"/>
      <c r="B139" s="147" t="s">
        <v>206</v>
      </c>
      <c r="C139" s="148">
        <f>SUM(C126:C138)</f>
        <v>4943</v>
      </c>
      <c r="D139" s="149"/>
      <c r="E139" s="150">
        <f>SUM(E126:E138)</f>
        <v>155135940</v>
      </c>
      <c r="F139" s="8"/>
    </row>
    <row r="140" spans="1:6" ht="15" customHeight="1" x14ac:dyDescent="0.2">
      <c r="A140" s="17"/>
      <c r="B140" s="81" t="s">
        <v>207</v>
      </c>
      <c r="C140" s="19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24">
        <f>+[1]BS17A!$D72</f>
        <v>0</v>
      </c>
      <c r="D141" s="25">
        <f>+[1]BS17A!$U72</f>
        <v>9860</v>
      </c>
      <c r="E141" s="146">
        <f>+[1]BS17A!$V72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24">
        <f>+[1]BS17A!$D74</f>
        <v>0</v>
      </c>
      <c r="D142" s="25">
        <f>+[1]BS17A!$U74</f>
        <v>9860</v>
      </c>
      <c r="E142" s="146">
        <f>+[1]BS17A!$V74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24">
        <f>+[1]BS17A!$D75</f>
        <v>26</v>
      </c>
      <c r="D143" s="25">
        <f>+[1]BS17A!$U75</f>
        <v>4350</v>
      </c>
      <c r="E143" s="146">
        <f>+[1]BS17A!$V75</f>
        <v>113100</v>
      </c>
      <c r="F143" s="8"/>
    </row>
    <row r="144" spans="1:6" ht="15" customHeight="1" x14ac:dyDescent="0.2">
      <c r="A144" s="22" t="s">
        <v>214</v>
      </c>
      <c r="B144" s="23" t="s">
        <v>215</v>
      </c>
      <c r="C144" s="24">
        <f>+[1]BS17A!$D77</f>
        <v>0</v>
      </c>
      <c r="D144" s="25">
        <f>+[1]BS17A!$U77</f>
        <v>79320</v>
      </c>
      <c r="E144" s="146">
        <f>+[1]BS17A!$V77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24">
        <f>+[1]BS17A!$D78</f>
        <v>0</v>
      </c>
      <c r="D145" s="25">
        <f>+[1]BS17A!$U78</f>
        <v>9360</v>
      </c>
      <c r="E145" s="146">
        <f>+[1]BS17A!$V78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24">
        <f>+[1]BS17A!$D81</f>
        <v>0</v>
      </c>
      <c r="D146" s="25">
        <f>+[1]BS17A!$U81</f>
        <v>7210</v>
      </c>
      <c r="E146" s="146">
        <f>+[1]BS17A!$V81</f>
        <v>0</v>
      </c>
      <c r="F146" s="8"/>
    </row>
    <row r="147" spans="1:6" ht="15" customHeight="1" x14ac:dyDescent="0.2">
      <c r="A147" s="29"/>
      <c r="B147" s="147" t="s">
        <v>220</v>
      </c>
      <c r="C147" s="148">
        <f>SUM(C141:C146)</f>
        <v>26</v>
      </c>
      <c r="D147" s="149"/>
      <c r="E147" s="150">
        <f>SUM(E141:E146)</f>
        <v>113100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4969</v>
      </c>
      <c r="D148" s="151"/>
      <c r="E148" s="152">
        <f>+E139+E147</f>
        <v>155249040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239" t="s">
        <v>222</v>
      </c>
      <c r="B151" s="240"/>
      <c r="C151" s="240"/>
      <c r="D151" s="240"/>
      <c r="E151" s="241"/>
      <c r="F151" s="5"/>
    </row>
    <row r="152" spans="1:6" ht="36" customHeight="1" x14ac:dyDescent="0.2">
      <c r="A152" s="11" t="s">
        <v>8</v>
      </c>
      <c r="B152" s="11" t="s">
        <v>9</v>
      </c>
      <c r="C152" s="12" t="s">
        <v>10</v>
      </c>
      <c r="D152" s="13" t="s">
        <v>11</v>
      </c>
      <c r="E152" s="1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19">
        <f>+[1]BS17A!D43</f>
        <v>2478</v>
      </c>
      <c r="D153" s="37">
        <f>[1]BS17A!U43</f>
        <v>680</v>
      </c>
      <c r="E153" s="145">
        <f>+[1]BS17A!V43</f>
        <v>1685040</v>
      </c>
      <c r="F153" s="8"/>
    </row>
    <row r="154" spans="1:6" ht="15" customHeight="1" x14ac:dyDescent="0.2">
      <c r="A154" s="29" t="s">
        <v>225</v>
      </c>
      <c r="B154" s="43" t="s">
        <v>226</v>
      </c>
      <c r="C154" s="31">
        <f>+[1]BS17A!D44+[1]BS17A!D45</f>
        <v>0</v>
      </c>
      <c r="D154" s="40">
        <f>[1]BS17A!U44</f>
        <v>100</v>
      </c>
      <c r="E154" s="153">
        <f>+[1]BS17A!V44+[1]BS17A!V45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2478</v>
      </c>
      <c r="D155" s="151"/>
      <c r="E155" s="152">
        <f>SUM(E153:E154)</f>
        <v>1685040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239" t="s">
        <v>228</v>
      </c>
      <c r="B158" s="240"/>
      <c r="C158" s="240"/>
      <c r="D158" s="240"/>
      <c r="E158" s="241"/>
      <c r="F158" s="5"/>
    </row>
    <row r="159" spans="1:6" ht="47.25" customHeight="1" x14ac:dyDescent="0.2">
      <c r="A159" s="11" t="s">
        <v>8</v>
      </c>
      <c r="B159" s="11" t="s">
        <v>9</v>
      </c>
      <c r="C159" s="12" t="s">
        <v>10</v>
      </c>
      <c r="D159" s="13" t="s">
        <v>11</v>
      </c>
      <c r="E159" s="1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+[1]BS17A!$D1470</f>
        <v>0</v>
      </c>
      <c r="D160" s="37">
        <f>+[1]BS17A!$U1470</f>
        <v>36940</v>
      </c>
      <c r="E160" s="145">
        <f>+[1]BS17A!$V1470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+[1]BS17A!$D1471</f>
        <v>0</v>
      </c>
      <c r="D161" s="25">
        <f>+[1]BS17A!$U1471</f>
        <v>23230</v>
      </c>
      <c r="E161" s="146">
        <f>+[1]BS17A!$V1471</f>
        <v>0</v>
      </c>
      <c r="F161" s="8"/>
    </row>
    <row r="162" spans="1:6" ht="15" customHeight="1" x14ac:dyDescent="0.2">
      <c r="A162" s="22" t="s">
        <v>233</v>
      </c>
      <c r="B162" s="28" t="s">
        <v>234</v>
      </c>
      <c r="C162" s="155">
        <f>+[1]BS17A!$D1472</f>
        <v>0</v>
      </c>
      <c r="D162" s="25">
        <f>+[1]BS17A!$U1472</f>
        <v>23230</v>
      </c>
      <c r="E162" s="146">
        <f>+[1]BS17A!$V1472</f>
        <v>0</v>
      </c>
      <c r="F162" s="8"/>
    </row>
    <row r="163" spans="1:6" ht="15" customHeight="1" x14ac:dyDescent="0.2">
      <c r="A163" s="22" t="s">
        <v>235</v>
      </c>
      <c r="B163" s="156" t="s">
        <v>236</v>
      </c>
      <c r="C163" s="155">
        <f>+[1]BS17A!$D1473</f>
        <v>0</v>
      </c>
      <c r="D163" s="25">
        <f>+[1]BS17A!$U1473</f>
        <v>703680</v>
      </c>
      <c r="E163" s="146">
        <f>+[1]BS17A!$V1473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+[1]BS17A!$D1474</f>
        <v>0</v>
      </c>
      <c r="D164" s="25">
        <f>+[1]BS17A!$U1474</f>
        <v>498630</v>
      </c>
      <c r="E164" s="146">
        <f>+[1]BS17A!$V1474</f>
        <v>0</v>
      </c>
      <c r="F164" s="8"/>
    </row>
    <row r="165" spans="1:6" ht="15" customHeight="1" x14ac:dyDescent="0.2">
      <c r="A165" s="65" t="s">
        <v>239</v>
      </c>
      <c r="B165" s="138" t="s">
        <v>240</v>
      </c>
      <c r="C165" s="155">
        <f>+[1]BS17A!$D1475</f>
        <v>0</v>
      </c>
      <c r="D165" s="25">
        <f>+[1]BS17A!$U1475</f>
        <v>42450</v>
      </c>
      <c r="E165" s="146">
        <f>+[1]BS17A!$V1475</f>
        <v>0</v>
      </c>
      <c r="F165" s="8"/>
    </row>
    <row r="166" spans="1:6" ht="15" customHeight="1" x14ac:dyDescent="0.2">
      <c r="A166" s="129">
        <v>1901029</v>
      </c>
      <c r="B166" s="157" t="s">
        <v>241</v>
      </c>
      <c r="C166" s="158">
        <f>+[1]BS17A!$D1476</f>
        <v>0</v>
      </c>
      <c r="D166" s="40">
        <f>+[1]BS17A!$U1476</f>
        <v>573040</v>
      </c>
      <c r="E166" s="153">
        <f>+[1]BS17A!$V1476</f>
        <v>0</v>
      </c>
      <c r="F166" s="8"/>
    </row>
    <row r="167" spans="1:6" ht="15" customHeight="1" x14ac:dyDescent="0.2">
      <c r="A167" s="159"/>
      <c r="B167" s="160" t="s">
        <v>242</v>
      </c>
      <c r="C167" s="161">
        <f>SUM(C160:C166)</f>
        <v>0</v>
      </c>
      <c r="D167" s="162"/>
      <c r="E167" s="163">
        <f>SUM(E160:E166)</f>
        <v>0</v>
      </c>
      <c r="F167" s="8"/>
    </row>
    <row r="168" spans="1:6" ht="12.75" x14ac:dyDescent="0.2">
      <c r="A168" s="8"/>
      <c r="B168" s="8"/>
      <c r="C168" s="8"/>
      <c r="D168" s="8"/>
      <c r="E168" s="8"/>
      <c r="F168" s="8"/>
    </row>
    <row r="169" spans="1:6" ht="18" customHeight="1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256" t="s">
        <v>243</v>
      </c>
      <c r="B170" s="252"/>
      <c r="C170" s="252"/>
      <c r="D170" s="252"/>
      <c r="E170" s="253"/>
      <c r="F170" s="5"/>
    </row>
    <row r="171" spans="1:6" ht="35.25" customHeight="1" x14ac:dyDescent="0.2">
      <c r="A171" s="11" t="s">
        <v>8</v>
      </c>
      <c r="B171" s="11" t="s">
        <v>9</v>
      </c>
      <c r="C171" s="12" t="s">
        <v>10</v>
      </c>
      <c r="D171" s="13" t="s">
        <v>11</v>
      </c>
      <c r="E171" s="14" t="s">
        <v>12</v>
      </c>
      <c r="F171" s="8"/>
    </row>
    <row r="172" spans="1:6" ht="12.75" customHeight="1" x14ac:dyDescent="0.2">
      <c r="A172" s="164">
        <v>1101004</v>
      </c>
      <c r="B172" s="165" t="s">
        <v>244</v>
      </c>
      <c r="C172" s="19">
        <f>+[1]BS17A!$D801</f>
        <v>0</v>
      </c>
      <c r="D172" s="37">
        <f>+[1]BS17A!$U801</f>
        <v>12660</v>
      </c>
      <c r="E172" s="145">
        <f>+[1]BS17A!$V801</f>
        <v>0</v>
      </c>
      <c r="F172" s="8"/>
    </row>
    <row r="173" spans="1:6" ht="12.75" customHeight="1" x14ac:dyDescent="0.2">
      <c r="A173" s="104">
        <v>1101006</v>
      </c>
      <c r="B173" s="166" t="s">
        <v>245</v>
      </c>
      <c r="C173" s="24">
        <f>+[1]BS17A!$D802</f>
        <v>13</v>
      </c>
      <c r="D173" s="25">
        <f>+[1]BS17A!$U802</f>
        <v>10140</v>
      </c>
      <c r="E173" s="146">
        <f>+[1]BS17A!$V802</f>
        <v>131820</v>
      </c>
      <c r="F173" s="8"/>
    </row>
    <row r="174" spans="1:6" ht="24.75" customHeight="1" x14ac:dyDescent="0.2">
      <c r="A174" s="104" t="s">
        <v>246</v>
      </c>
      <c r="B174" s="167" t="s">
        <v>247</v>
      </c>
      <c r="C174" s="24">
        <f>+[1]BS17A!$D1186</f>
        <v>705</v>
      </c>
      <c r="D174" s="25">
        <f>+[1]BS17A!$U1186</f>
        <v>4340</v>
      </c>
      <c r="E174" s="146">
        <f>+[1]BS17A!$V1186</f>
        <v>3059700</v>
      </c>
      <c r="F174" s="8"/>
    </row>
    <row r="175" spans="1:6" ht="24.75" customHeight="1" x14ac:dyDescent="0.2">
      <c r="A175" s="104" t="s">
        <v>248</v>
      </c>
      <c r="B175" s="167" t="s">
        <v>249</v>
      </c>
      <c r="C175" s="24">
        <f>+[1]BS17A!$D1187</f>
        <v>18</v>
      </c>
      <c r="D175" s="25">
        <f>+[1]BS17A!$U1187</f>
        <v>12240</v>
      </c>
      <c r="E175" s="146">
        <f>+[1]BS17A!$V1187</f>
        <v>220320</v>
      </c>
      <c r="F175" s="8"/>
    </row>
    <row r="176" spans="1:6" ht="24.75" customHeight="1" x14ac:dyDescent="0.2">
      <c r="A176" s="104" t="s">
        <v>250</v>
      </c>
      <c r="B176" s="167" t="s">
        <v>251</v>
      </c>
      <c r="C176" s="24">
        <f>+[1]BS17A!$D1188</f>
        <v>29</v>
      </c>
      <c r="D176" s="25">
        <f>+[1]BS17A!$U1188</f>
        <v>20750</v>
      </c>
      <c r="E176" s="146">
        <f>+[1]BS17A!$V1188</f>
        <v>601750</v>
      </c>
      <c r="F176" s="8"/>
    </row>
    <row r="177" spans="1:6" ht="12.75" customHeight="1" x14ac:dyDescent="0.2">
      <c r="A177" s="104" t="s">
        <v>252</v>
      </c>
      <c r="B177" s="167" t="s">
        <v>253</v>
      </c>
      <c r="C177" s="24">
        <f>+[1]BS17A!$D1189</f>
        <v>0</v>
      </c>
      <c r="D177" s="25">
        <f>+[1]BS17A!$U1189</f>
        <v>39600</v>
      </c>
      <c r="E177" s="146">
        <f>+[1]BS17A!$V1189</f>
        <v>0</v>
      </c>
      <c r="F177" s="8"/>
    </row>
    <row r="178" spans="1:6" ht="12.75" customHeight="1" x14ac:dyDescent="0.2">
      <c r="A178" s="104" t="s">
        <v>254</v>
      </c>
      <c r="B178" s="167" t="s">
        <v>255</v>
      </c>
      <c r="C178" s="24">
        <f>+[1]BS17A!$D1190</f>
        <v>90</v>
      </c>
      <c r="D178" s="25">
        <f>+[1]BS17A!$U1190</f>
        <v>44140</v>
      </c>
      <c r="E178" s="146">
        <f>+[1]BS17A!$V1190</f>
        <v>3972600</v>
      </c>
      <c r="F178" s="8"/>
    </row>
    <row r="179" spans="1:6" ht="24.75" customHeight="1" x14ac:dyDescent="0.2">
      <c r="A179" s="104" t="s">
        <v>256</v>
      </c>
      <c r="B179" s="167" t="s">
        <v>257</v>
      </c>
      <c r="C179" s="24">
        <f>+[1]BS17A!$D1191</f>
        <v>0</v>
      </c>
      <c r="D179" s="25">
        <f>+[1]BS17A!$U1191</f>
        <v>24760</v>
      </c>
      <c r="E179" s="146">
        <f>+[1]BS17A!$V1191</f>
        <v>0</v>
      </c>
      <c r="F179" s="8"/>
    </row>
    <row r="180" spans="1:6" ht="12.75" customHeight="1" x14ac:dyDescent="0.2">
      <c r="A180" s="104" t="s">
        <v>258</v>
      </c>
      <c r="B180" s="156" t="s">
        <v>259</v>
      </c>
      <c r="C180" s="24">
        <f>+[1]BS17A!$D1192</f>
        <v>0</v>
      </c>
      <c r="D180" s="25">
        <f>+[1]BS17A!$U1192</f>
        <v>191590</v>
      </c>
      <c r="E180" s="146">
        <f>+[1]BS17A!$V1192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24">
        <f>+[1]BS17A!$D1193</f>
        <v>0</v>
      </c>
      <c r="D181" s="25">
        <f>+[1]BS17A!$U1193</f>
        <v>217800</v>
      </c>
      <c r="E181" s="146">
        <f>+[1]BS17A!$V1193</f>
        <v>0</v>
      </c>
      <c r="F181" s="8"/>
    </row>
    <row r="182" spans="1:6" ht="12.75" customHeight="1" x14ac:dyDescent="0.2">
      <c r="A182" s="104" t="s">
        <v>262</v>
      </c>
      <c r="B182" s="167" t="s">
        <v>263</v>
      </c>
      <c r="C182" s="24">
        <f>+[1]BS17A!$D1194</f>
        <v>0</v>
      </c>
      <c r="D182" s="25">
        <f>+[1]BS17A!$U1194</f>
        <v>177610</v>
      </c>
      <c r="E182" s="146">
        <f>+[1]BS17A!$V1194</f>
        <v>0</v>
      </c>
      <c r="F182" s="8"/>
    </row>
    <row r="183" spans="1:6" ht="24.75" customHeight="1" x14ac:dyDescent="0.2">
      <c r="A183" s="104" t="s">
        <v>264</v>
      </c>
      <c r="B183" s="156" t="s">
        <v>265</v>
      </c>
      <c r="C183" s="24">
        <f>+[1]BS17A!$D1195</f>
        <v>0</v>
      </c>
      <c r="D183" s="25">
        <f>+[1]BS17A!$U1195</f>
        <v>228130</v>
      </c>
      <c r="E183" s="146">
        <f>+[1]BS17A!$V1195</f>
        <v>0</v>
      </c>
      <c r="F183" s="8"/>
    </row>
    <row r="184" spans="1:6" ht="24.75" customHeight="1" x14ac:dyDescent="0.2">
      <c r="A184" s="104" t="s">
        <v>266</v>
      </c>
      <c r="B184" s="156" t="s">
        <v>267</v>
      </c>
      <c r="C184" s="24">
        <f>+[1]BS17A!$D1196</f>
        <v>0</v>
      </c>
      <c r="D184" s="25">
        <f>+[1]BS17A!$U1196</f>
        <v>233440</v>
      </c>
      <c r="E184" s="146">
        <f>+[1]BS17A!$V1196</f>
        <v>0</v>
      </c>
      <c r="F184" s="8"/>
    </row>
    <row r="185" spans="1:6" ht="24.75" customHeight="1" x14ac:dyDescent="0.2">
      <c r="A185" s="104" t="s">
        <v>268</v>
      </c>
      <c r="B185" s="156" t="s">
        <v>269</v>
      </c>
      <c r="C185" s="24">
        <f>+[1]BS17A!$D1197</f>
        <v>0</v>
      </c>
      <c r="D185" s="25">
        <f>+[1]BS17A!$U1197</f>
        <v>197410</v>
      </c>
      <c r="E185" s="146">
        <f>+[1]BS17A!$V1197</f>
        <v>0</v>
      </c>
      <c r="F185" s="8"/>
    </row>
    <row r="186" spans="1:6" ht="12.75" customHeight="1" x14ac:dyDescent="0.2">
      <c r="A186" s="104" t="s">
        <v>270</v>
      </c>
      <c r="B186" s="156" t="s">
        <v>271</v>
      </c>
      <c r="C186" s="24">
        <f>+[1]BS17A!$D1198</f>
        <v>0</v>
      </c>
      <c r="D186" s="25">
        <f>+[1]BS17A!$U1198</f>
        <v>210720</v>
      </c>
      <c r="E186" s="146">
        <f>+[1]BS17A!$V1198</f>
        <v>0</v>
      </c>
      <c r="F186" s="8"/>
    </row>
    <row r="187" spans="1:6" ht="12.75" customHeight="1" x14ac:dyDescent="0.2">
      <c r="A187" s="104" t="s">
        <v>272</v>
      </c>
      <c r="B187" s="156" t="s">
        <v>273</v>
      </c>
      <c r="C187" s="24">
        <f>+[1]BS17A!$D1199</f>
        <v>0</v>
      </c>
      <c r="D187" s="25">
        <f>+[1]BS17A!$U1199</f>
        <v>251960</v>
      </c>
      <c r="E187" s="146">
        <f>+[1]BS17A!$V1199</f>
        <v>0</v>
      </c>
      <c r="F187" s="8"/>
    </row>
    <row r="188" spans="1:6" ht="24.75" customHeight="1" x14ac:dyDescent="0.2">
      <c r="A188" s="104" t="s">
        <v>274</v>
      </c>
      <c r="B188" s="167" t="s">
        <v>275</v>
      </c>
      <c r="C188" s="24">
        <f>+[1]BS17A!$D1200</f>
        <v>0</v>
      </c>
      <c r="D188" s="25">
        <f>+[1]BS17A!$U1200</f>
        <v>223440</v>
      </c>
      <c r="E188" s="146">
        <f>+[1]BS17A!$V1200</f>
        <v>0</v>
      </c>
      <c r="F188" s="8"/>
    </row>
    <row r="189" spans="1:6" ht="24.75" customHeight="1" x14ac:dyDescent="0.2">
      <c r="A189" s="104" t="s">
        <v>276</v>
      </c>
      <c r="B189" s="156" t="s">
        <v>277</v>
      </c>
      <c r="C189" s="24">
        <f>+[1]BS17A!$D1201</f>
        <v>0</v>
      </c>
      <c r="D189" s="25">
        <f>+[1]BS17A!$U1201</f>
        <v>1635110</v>
      </c>
      <c r="E189" s="146">
        <f>+[1]BS17A!$V1201</f>
        <v>0</v>
      </c>
      <c r="F189" s="8"/>
    </row>
    <row r="190" spans="1:6" ht="12.75" customHeight="1" x14ac:dyDescent="0.2">
      <c r="A190" s="104" t="s">
        <v>278</v>
      </c>
      <c r="B190" s="156" t="s">
        <v>279</v>
      </c>
      <c r="C190" s="24">
        <f>+[1]BS17A!$D1202</f>
        <v>0</v>
      </c>
      <c r="D190" s="25">
        <f>+[1]BS17A!$U1202</f>
        <v>1021290</v>
      </c>
      <c r="E190" s="146">
        <f>+[1]BS17A!$V1202</f>
        <v>0</v>
      </c>
      <c r="F190" s="8"/>
    </row>
    <row r="191" spans="1:6" ht="12.75" customHeight="1" x14ac:dyDescent="0.2">
      <c r="A191" s="22" t="s">
        <v>280</v>
      </c>
      <c r="B191" s="156" t="s">
        <v>281</v>
      </c>
      <c r="C191" s="24">
        <f>+[1]BS17A!$D1203</f>
        <v>0</v>
      </c>
      <c r="D191" s="25">
        <f>+[1]BS17A!$U1203</f>
        <v>988490</v>
      </c>
      <c r="E191" s="146">
        <f>+[1]BS17A!$V1203</f>
        <v>0</v>
      </c>
      <c r="F191" s="8"/>
    </row>
    <row r="192" spans="1:6" ht="24.75" customHeight="1" x14ac:dyDescent="0.2">
      <c r="A192" s="104" t="s">
        <v>282</v>
      </c>
      <c r="B192" s="156" t="s">
        <v>283</v>
      </c>
      <c r="C192" s="24">
        <f>+[1]BS17A!$D1204</f>
        <v>0</v>
      </c>
      <c r="D192" s="25">
        <f>+[1]BS17A!$U1204</f>
        <v>1035570</v>
      </c>
      <c r="E192" s="146">
        <f>+[1]BS17A!$V1204</f>
        <v>0</v>
      </c>
      <c r="F192" s="8"/>
    </row>
    <row r="193" spans="1:6" ht="12.75" customHeight="1" x14ac:dyDescent="0.2">
      <c r="A193" s="22" t="s">
        <v>284</v>
      </c>
      <c r="B193" s="156" t="s">
        <v>285</v>
      </c>
      <c r="C193" s="24">
        <f>+[1]BS17A!$D1205</f>
        <v>0</v>
      </c>
      <c r="D193" s="25">
        <f>+[1]BS17A!$U1205</f>
        <v>146540</v>
      </c>
      <c r="E193" s="146">
        <f>+[1]BS17A!$V1205</f>
        <v>0</v>
      </c>
      <c r="F193" s="8"/>
    </row>
    <row r="194" spans="1:6" ht="12.75" customHeight="1" x14ac:dyDescent="0.2">
      <c r="A194" s="22" t="s">
        <v>286</v>
      </c>
      <c r="B194" s="156" t="s">
        <v>287</v>
      </c>
      <c r="C194" s="24">
        <f>+[1]BS17A!$D1206</f>
        <v>0</v>
      </c>
      <c r="D194" s="25">
        <f>+[1]BS17A!$U1206</f>
        <v>334400</v>
      </c>
      <c r="E194" s="146">
        <f>+[1]BS17A!$V1206</f>
        <v>0</v>
      </c>
      <c r="F194" s="8"/>
    </row>
    <row r="195" spans="1:6" ht="12.75" customHeight="1" x14ac:dyDescent="0.2">
      <c r="A195" s="104" t="s">
        <v>288</v>
      </c>
      <c r="B195" s="156" t="s">
        <v>289</v>
      </c>
      <c r="C195" s="24">
        <f>+[1]BS17A!$D1207</f>
        <v>0</v>
      </c>
      <c r="D195" s="25">
        <f>+[1]BS17A!$U1207</f>
        <v>123970</v>
      </c>
      <c r="E195" s="146">
        <f>+[1]BS17A!$V1207</f>
        <v>0</v>
      </c>
      <c r="F195" s="8"/>
    </row>
    <row r="196" spans="1:6" ht="12.75" customHeight="1" x14ac:dyDescent="0.2">
      <c r="A196" s="104" t="s">
        <v>290</v>
      </c>
      <c r="B196" s="156" t="s">
        <v>291</v>
      </c>
      <c r="C196" s="24">
        <f>+[1]BS17A!$D1208</f>
        <v>0</v>
      </c>
      <c r="D196" s="25">
        <f>+[1]BS17A!$U1208</f>
        <v>1004460</v>
      </c>
      <c r="E196" s="146">
        <f>+[1]BS17A!$V1208</f>
        <v>0</v>
      </c>
      <c r="F196" s="8"/>
    </row>
    <row r="197" spans="1:6" ht="12.75" customHeight="1" x14ac:dyDescent="0.2">
      <c r="A197" s="104" t="s">
        <v>292</v>
      </c>
      <c r="B197" s="156" t="s">
        <v>293</v>
      </c>
      <c r="C197" s="24">
        <f>+[1]BS17A!$D1209</f>
        <v>0</v>
      </c>
      <c r="D197" s="25">
        <f>+[1]BS17A!$U1209</f>
        <v>1004460</v>
      </c>
      <c r="E197" s="146">
        <f>+[1]BS17A!$V1209</f>
        <v>0</v>
      </c>
      <c r="F197" s="8"/>
    </row>
    <row r="198" spans="1:6" ht="12.75" customHeight="1" x14ac:dyDescent="0.2">
      <c r="A198" s="104">
        <v>1801001</v>
      </c>
      <c r="B198" s="166" t="s">
        <v>294</v>
      </c>
      <c r="C198" s="24">
        <f>+[1]BS17A!$D1343</f>
        <v>34</v>
      </c>
      <c r="D198" s="25">
        <f>+[1]BS17A!$U1343</f>
        <v>29960</v>
      </c>
      <c r="E198" s="146">
        <f>+[1]BS17A!$V1343</f>
        <v>1018640</v>
      </c>
      <c r="F198" s="8"/>
    </row>
    <row r="199" spans="1:6" ht="12.75" customHeight="1" x14ac:dyDescent="0.2">
      <c r="A199" s="104">
        <v>1801003</v>
      </c>
      <c r="B199" s="156" t="s">
        <v>295</v>
      </c>
      <c r="C199" s="24">
        <f>+[1]BS17A!$D1344</f>
        <v>1</v>
      </c>
      <c r="D199" s="25">
        <f>+[1]BS17A!$U1344</f>
        <v>36140</v>
      </c>
      <c r="E199" s="146">
        <f>+[1]BS17A!$V1344</f>
        <v>36140</v>
      </c>
      <c r="F199" s="8"/>
    </row>
    <row r="200" spans="1:6" ht="12.75" customHeight="1" x14ac:dyDescent="0.2">
      <c r="A200" s="104">
        <v>1801006</v>
      </c>
      <c r="B200" s="166" t="s">
        <v>296</v>
      </c>
      <c r="C200" s="24">
        <f>+[1]BS17A!$D1345</f>
        <v>6</v>
      </c>
      <c r="D200" s="25">
        <f>+[1]BS17A!$U1345</f>
        <v>38490</v>
      </c>
      <c r="E200" s="146">
        <f>+[1]BS17A!$V1345</f>
        <v>230940</v>
      </c>
      <c r="F200" s="8"/>
    </row>
    <row r="201" spans="1:6" ht="24.75" customHeight="1" x14ac:dyDescent="0.2">
      <c r="A201" s="104" t="s">
        <v>297</v>
      </c>
      <c r="B201" s="166" t="s">
        <v>298</v>
      </c>
      <c r="C201" s="24">
        <f>[1]BS17A!D1032</f>
        <v>0</v>
      </c>
      <c r="D201" s="25">
        <f>[1]BS17A!U1032</f>
        <v>8100</v>
      </c>
      <c r="E201" s="146">
        <f>[1]BS17A!V1032</f>
        <v>0</v>
      </c>
      <c r="F201" s="8"/>
    </row>
    <row r="202" spans="1:6" ht="24.75" customHeight="1" x14ac:dyDescent="0.2">
      <c r="A202" s="168" t="s">
        <v>299</v>
      </c>
      <c r="B202" s="169" t="s">
        <v>300</v>
      </c>
      <c r="C202" s="88">
        <f>[1]BS17A!D803</f>
        <v>0</v>
      </c>
      <c r="D202" s="170">
        <f>[1]BS17A!U803</f>
        <v>343800</v>
      </c>
      <c r="E202" s="171">
        <f>[1]BS17A!V803</f>
        <v>0</v>
      </c>
      <c r="F202" s="8"/>
    </row>
    <row r="203" spans="1:6" ht="17.25" customHeight="1" x14ac:dyDescent="0.2">
      <c r="A203" s="130"/>
      <c r="B203" s="131" t="s">
        <v>301</v>
      </c>
      <c r="C203" s="44">
        <f>SUM(C172:C202)</f>
        <v>896</v>
      </c>
      <c r="D203" s="151"/>
      <c r="E203" s="152">
        <f>SUM(E172:E202)</f>
        <v>9271910</v>
      </c>
      <c r="F203" s="8"/>
    </row>
    <row r="204" spans="1:6" ht="21.75" customHeight="1" x14ac:dyDescent="0.2">
      <c r="A204" s="8"/>
      <c r="B204" s="8"/>
      <c r="C204" s="8"/>
      <c r="D204" s="8"/>
      <c r="E204" s="8"/>
      <c r="F204" s="8"/>
    </row>
    <row r="205" spans="1:6" ht="19.5" customHeight="1" x14ac:dyDescent="0.2">
      <c r="A205" s="8"/>
      <c r="B205" s="8"/>
      <c r="C205" s="8"/>
      <c r="D205" s="8"/>
      <c r="E205" s="8"/>
      <c r="F205" s="8"/>
    </row>
    <row r="206" spans="1:6" ht="18" customHeight="1" x14ac:dyDescent="0.2">
      <c r="A206" s="256" t="s">
        <v>302</v>
      </c>
      <c r="B206" s="252"/>
      <c r="C206" s="252"/>
      <c r="D206" s="252"/>
      <c r="E206" s="253"/>
      <c r="F206" s="5"/>
    </row>
    <row r="207" spans="1:6" ht="39.75" customHeight="1" x14ac:dyDescent="0.2">
      <c r="A207" s="11" t="s">
        <v>8</v>
      </c>
      <c r="B207" s="11" t="s">
        <v>9</v>
      </c>
      <c r="C207" s="12" t="s">
        <v>10</v>
      </c>
      <c r="D207" s="13" t="s">
        <v>11</v>
      </c>
      <c r="E207" s="14" t="s">
        <v>12</v>
      </c>
      <c r="F207" s="5"/>
    </row>
    <row r="208" spans="1:6" ht="12.75" customHeight="1" x14ac:dyDescent="0.2">
      <c r="A208" s="17" t="s">
        <v>303</v>
      </c>
      <c r="B208" s="42" t="s">
        <v>304</v>
      </c>
      <c r="C208" s="19">
        <f>+[1]BS17A!$D18</f>
        <v>0</v>
      </c>
      <c r="D208" s="37">
        <f>+[1]BS17A!$U18</f>
        <v>12540</v>
      </c>
      <c r="E208" s="145">
        <f>+[1]BS17A!$V18</f>
        <v>0</v>
      </c>
      <c r="F208" s="8"/>
    </row>
    <row r="209" spans="1:6" ht="12.75" customHeight="1" x14ac:dyDescent="0.2">
      <c r="A209" s="22" t="s">
        <v>305</v>
      </c>
      <c r="B209" s="23" t="s">
        <v>306</v>
      </c>
      <c r="C209" s="24">
        <f>+[1]BS17A!$D19</f>
        <v>87</v>
      </c>
      <c r="D209" s="25">
        <f>+[1]BS17A!$U19</f>
        <v>12540</v>
      </c>
      <c r="E209" s="146">
        <f>+[1]BS17A!$V19</f>
        <v>1090980</v>
      </c>
      <c r="F209" s="8"/>
    </row>
    <row r="210" spans="1:6" ht="12.75" customHeight="1" x14ac:dyDescent="0.2">
      <c r="A210" s="22" t="s">
        <v>307</v>
      </c>
      <c r="B210" s="28" t="s">
        <v>308</v>
      </c>
      <c r="C210" s="24">
        <f>+[1]BS17A!$D47</f>
        <v>0</v>
      </c>
      <c r="D210" s="25">
        <f>+[1]BS17A!$U47</f>
        <v>1200</v>
      </c>
      <c r="E210" s="146">
        <f>+[1]BS17A!$V47</f>
        <v>0</v>
      </c>
      <c r="F210" s="8"/>
    </row>
    <row r="211" spans="1:6" ht="12.75" customHeight="1" x14ac:dyDescent="0.2">
      <c r="A211" s="22" t="s">
        <v>309</v>
      </c>
      <c r="B211" s="28" t="s">
        <v>310</v>
      </c>
      <c r="C211" s="24">
        <f>+[1]BS17A!$D48</f>
        <v>601</v>
      </c>
      <c r="D211" s="25">
        <f>+[1]BS17A!$U48</f>
        <v>580</v>
      </c>
      <c r="E211" s="146">
        <f>+[1]BS17A!$V48</f>
        <v>348580</v>
      </c>
      <c r="F211" s="8"/>
    </row>
    <row r="212" spans="1:6" ht="12.75" customHeight="1" x14ac:dyDescent="0.2">
      <c r="A212" s="22" t="s">
        <v>311</v>
      </c>
      <c r="B212" s="23" t="s">
        <v>312</v>
      </c>
      <c r="C212" s="24">
        <f>+[1]BS17A!$D49</f>
        <v>839</v>
      </c>
      <c r="D212" s="25">
        <f>+[1]BS17A!$U49</f>
        <v>1780</v>
      </c>
      <c r="E212" s="146">
        <f>+[1]BS17A!$V49</f>
        <v>1493420</v>
      </c>
      <c r="F212" s="8"/>
    </row>
    <row r="213" spans="1:6" ht="12.75" customHeight="1" x14ac:dyDescent="0.2">
      <c r="A213" s="22" t="s">
        <v>313</v>
      </c>
      <c r="B213" s="23" t="s">
        <v>314</v>
      </c>
      <c r="C213" s="24">
        <f>+[1]BS17A!$D50</f>
        <v>35</v>
      </c>
      <c r="D213" s="25">
        <f>+[1]BS17A!$U50</f>
        <v>13350</v>
      </c>
      <c r="E213" s="146">
        <f>+[1]BS17A!$V50</f>
        <v>467250</v>
      </c>
      <c r="F213" s="8"/>
    </row>
    <row r="214" spans="1:6" ht="12.75" customHeight="1" x14ac:dyDescent="0.2">
      <c r="A214" s="22" t="s">
        <v>315</v>
      </c>
      <c r="B214" s="28" t="s">
        <v>316</v>
      </c>
      <c r="C214" s="24">
        <f>+[1]BS17A!$D51</f>
        <v>99</v>
      </c>
      <c r="D214" s="25">
        <f>+[1]BS17A!$U51</f>
        <v>30660</v>
      </c>
      <c r="E214" s="146">
        <f>+[1]BS17A!$V51</f>
        <v>3035340</v>
      </c>
      <c r="F214" s="8"/>
    </row>
    <row r="215" spans="1:6" ht="12.75" customHeight="1" x14ac:dyDescent="0.2">
      <c r="A215" s="104" t="s">
        <v>317</v>
      </c>
      <c r="B215" s="28" t="s">
        <v>318</v>
      </c>
      <c r="C215" s="24">
        <f>+[1]BS17A!D52</f>
        <v>10</v>
      </c>
      <c r="D215" s="172"/>
      <c r="E215" s="146">
        <f>+[1]BS17A!V52</f>
        <v>76500</v>
      </c>
      <c r="F215" s="8"/>
    </row>
    <row r="216" spans="1:6" ht="12.75" customHeight="1" x14ac:dyDescent="0.2">
      <c r="A216" s="29" t="s">
        <v>319</v>
      </c>
      <c r="B216" s="43" t="s">
        <v>320</v>
      </c>
      <c r="C216" s="31">
        <f>+[1]BS17A!$D1849</f>
        <v>39</v>
      </c>
      <c r="D216" s="40">
        <f>+[1]BS17A!$U1849</f>
        <v>24850</v>
      </c>
      <c r="E216" s="153">
        <f>+[1]BS17A!$V1849</f>
        <v>969150</v>
      </c>
      <c r="F216" s="8"/>
    </row>
    <row r="217" spans="1:6" ht="12.75" x14ac:dyDescent="0.2">
      <c r="A217" s="130"/>
      <c r="B217" s="131" t="s">
        <v>321</v>
      </c>
      <c r="C217" s="44">
        <f>SUM(C208:C216)</f>
        <v>1710</v>
      </c>
      <c r="D217" s="151"/>
      <c r="E217" s="171">
        <f>SUM(E208:E216)</f>
        <v>7481220</v>
      </c>
      <c r="F217" s="8"/>
    </row>
    <row r="218" spans="1:6" ht="17.25" customHeight="1" x14ac:dyDescent="0.2">
      <c r="A218" s="8"/>
      <c r="B218" s="8"/>
      <c r="C218" s="8"/>
      <c r="D218" s="8"/>
      <c r="E218" s="8"/>
      <c r="F218" s="8"/>
    </row>
    <row r="219" spans="1:6" ht="18" customHeight="1" x14ac:dyDescent="0.2">
      <c r="A219" s="8"/>
      <c r="B219" s="8"/>
      <c r="C219" s="8"/>
      <c r="D219" s="8"/>
      <c r="E219" s="8"/>
      <c r="F219" s="8"/>
    </row>
    <row r="220" spans="1:6" ht="27.75" customHeight="1" x14ac:dyDescent="0.2">
      <c r="A220" s="257" t="s">
        <v>322</v>
      </c>
      <c r="B220" s="258"/>
      <c r="C220" s="259"/>
      <c r="D220" s="8"/>
      <c r="E220" s="8"/>
      <c r="F220" s="5"/>
    </row>
    <row r="221" spans="1:6" ht="36.75" customHeight="1" x14ac:dyDescent="0.2">
      <c r="A221" s="11" t="s">
        <v>8</v>
      </c>
      <c r="B221" s="11" t="s">
        <v>10</v>
      </c>
      <c r="C221" s="11" t="s">
        <v>12</v>
      </c>
      <c r="D221" s="5"/>
      <c r="E221" s="8"/>
      <c r="F221" s="8"/>
    </row>
    <row r="222" spans="1:6" ht="15" customHeight="1" x14ac:dyDescent="0.2">
      <c r="A222" s="17" t="s">
        <v>323</v>
      </c>
      <c r="B222" s="173" t="s">
        <v>324</v>
      </c>
      <c r="C222" s="174"/>
      <c r="D222" s="175"/>
      <c r="E222" s="8"/>
      <c r="F222" s="8"/>
    </row>
    <row r="223" spans="1:6" ht="15" customHeight="1" x14ac:dyDescent="0.2">
      <c r="A223" s="176" t="s">
        <v>325</v>
      </c>
      <c r="B223" s="177" t="s">
        <v>326</v>
      </c>
      <c r="C223" s="178"/>
      <c r="D223" s="175"/>
      <c r="E223" s="8"/>
      <c r="F223" s="8"/>
    </row>
    <row r="224" spans="1:6" ht="18" customHeight="1" x14ac:dyDescent="0.2">
      <c r="A224" s="179"/>
      <c r="B224" s="180" t="s">
        <v>327</v>
      </c>
      <c r="C224" s="181">
        <f>SUM(C222:C223)</f>
        <v>0</v>
      </c>
      <c r="D224" s="175"/>
      <c r="E224" s="8"/>
      <c r="F224" s="8"/>
    </row>
    <row r="225" spans="1:7" ht="18" customHeight="1" x14ac:dyDescent="0.2">
      <c r="A225" s="8"/>
      <c r="B225" s="8"/>
      <c r="C225" s="8"/>
      <c r="D225" s="175"/>
      <c r="E225" s="175"/>
      <c r="F225" s="175"/>
    </row>
    <row r="226" spans="1:7" ht="18" customHeight="1" x14ac:dyDescent="0.2">
      <c r="A226" s="8"/>
      <c r="B226" s="8"/>
      <c r="C226" s="8"/>
      <c r="D226" s="8"/>
      <c r="E226" s="8"/>
      <c r="F226" s="175"/>
      <c r="G226" s="182"/>
    </row>
    <row r="227" spans="1:7" ht="18" customHeight="1" x14ac:dyDescent="0.2">
      <c r="A227" s="256" t="s">
        <v>328</v>
      </c>
      <c r="B227" s="252"/>
      <c r="C227" s="252"/>
      <c r="D227" s="252"/>
      <c r="E227" s="253"/>
      <c r="F227" s="175"/>
      <c r="G227" s="182"/>
    </row>
    <row r="228" spans="1:7" ht="64.5" customHeight="1" x14ac:dyDescent="0.2">
      <c r="A228" s="11" t="s">
        <v>8</v>
      </c>
      <c r="B228" s="11" t="s">
        <v>9</v>
      </c>
      <c r="C228" s="12" t="s">
        <v>10</v>
      </c>
      <c r="D228" s="13" t="s">
        <v>11</v>
      </c>
      <c r="E228" s="14" t="s">
        <v>12</v>
      </c>
      <c r="F228" s="175"/>
      <c r="G228" s="182"/>
    </row>
    <row r="229" spans="1:7" ht="15" customHeight="1" x14ac:dyDescent="0.2">
      <c r="A229" s="17" t="s">
        <v>329</v>
      </c>
      <c r="B229" s="42" t="s">
        <v>330</v>
      </c>
      <c r="C229" s="154">
        <f>+[1]BS17A!$D1920</f>
        <v>252</v>
      </c>
      <c r="D229" s="37">
        <f>+[1]BS17A!$U1920</f>
        <v>17150</v>
      </c>
      <c r="E229" s="145">
        <f>+[1]BS17A!$V1920</f>
        <v>4321800</v>
      </c>
      <c r="F229" s="8"/>
    </row>
    <row r="230" spans="1:7" ht="15" customHeight="1" x14ac:dyDescent="0.2">
      <c r="A230" s="29" t="s">
        <v>331</v>
      </c>
      <c r="B230" s="43" t="s">
        <v>332</v>
      </c>
      <c r="C230" s="158">
        <f>+[1]BS17A!$D1921</f>
        <v>0</v>
      </c>
      <c r="D230" s="40">
        <f>+[1]BS17A!$U1921</f>
        <v>215070</v>
      </c>
      <c r="E230" s="153">
        <f>+[1]BS17A!$V1921</f>
        <v>0</v>
      </c>
      <c r="F230" s="8"/>
    </row>
    <row r="231" spans="1:7" ht="18" customHeight="1" x14ac:dyDescent="0.2">
      <c r="A231" s="130"/>
      <c r="B231" s="131" t="s">
        <v>333</v>
      </c>
      <c r="C231" s="44">
        <f>SUM(C229:C230)</f>
        <v>252</v>
      </c>
      <c r="D231" s="151"/>
      <c r="E231" s="152">
        <f>SUM(E229:E230)</f>
        <v>4321800</v>
      </c>
      <c r="F231" s="8"/>
    </row>
    <row r="232" spans="1:7" ht="18" customHeight="1" x14ac:dyDescent="0.2">
      <c r="A232" s="183"/>
      <c r="B232" s="184"/>
      <c r="C232" s="185"/>
      <c r="D232" s="183"/>
      <c r="E232" s="183"/>
      <c r="F232" s="8"/>
    </row>
    <row r="233" spans="1:7" ht="18" customHeight="1" x14ac:dyDescent="0.2">
      <c r="A233" s="183"/>
      <c r="B233" s="184"/>
      <c r="C233" s="185"/>
      <c r="D233" s="183"/>
      <c r="E233" s="183"/>
      <c r="F233" s="8"/>
    </row>
    <row r="234" spans="1:7" ht="18" customHeight="1" x14ac:dyDescent="0.2">
      <c r="A234" s="251" t="s">
        <v>334</v>
      </c>
      <c r="B234" s="252"/>
      <c r="C234" s="252"/>
      <c r="D234" s="252"/>
      <c r="E234" s="253"/>
      <c r="F234" s="8"/>
    </row>
    <row r="235" spans="1:7" ht="38.25" x14ac:dyDescent="0.2">
      <c r="A235" s="11" t="s">
        <v>8</v>
      </c>
      <c r="B235" s="11" t="s">
        <v>9</v>
      </c>
      <c r="C235" s="12" t="s">
        <v>10</v>
      </c>
      <c r="D235" s="13" t="s">
        <v>11</v>
      </c>
      <c r="E235" s="14" t="s">
        <v>12</v>
      </c>
      <c r="F235" s="8"/>
    </row>
    <row r="236" spans="1:7" ht="18" customHeight="1" x14ac:dyDescent="0.2">
      <c r="A236" s="142" t="s">
        <v>335</v>
      </c>
      <c r="B236" s="186" t="s">
        <v>336</v>
      </c>
      <c r="C236" s="187">
        <f>[1]BS17A!D764</f>
        <v>444</v>
      </c>
      <c r="D236" s="188"/>
      <c r="E236" s="189">
        <f>[1]BS17A!V764</f>
        <v>2440530</v>
      </c>
      <c r="F236" s="8"/>
    </row>
    <row r="237" spans="1:7" ht="18" customHeight="1" x14ac:dyDescent="0.2">
      <c r="A237" s="183"/>
      <c r="B237" s="184"/>
      <c r="C237" s="185"/>
      <c r="D237" s="183"/>
      <c r="E237" s="183"/>
      <c r="F237" s="8"/>
    </row>
    <row r="238" spans="1:7" ht="18" customHeight="1" x14ac:dyDescent="0.2">
      <c r="A238" s="251" t="s">
        <v>337</v>
      </c>
      <c r="B238" s="254"/>
      <c r="C238" s="254"/>
      <c r="D238" s="254"/>
      <c r="E238" s="255"/>
      <c r="F238" s="8"/>
    </row>
    <row r="239" spans="1:7" ht="41.25" customHeight="1" x14ac:dyDescent="0.2">
      <c r="A239" s="11" t="s">
        <v>8</v>
      </c>
      <c r="B239" s="12" t="s">
        <v>338</v>
      </c>
      <c r="C239" s="100" t="s">
        <v>339</v>
      </c>
      <c r="D239" s="13" t="s">
        <v>11</v>
      </c>
      <c r="E239" s="14" t="s">
        <v>12</v>
      </c>
      <c r="F239" s="8"/>
    </row>
    <row r="240" spans="1:7" ht="15" customHeight="1" x14ac:dyDescent="0.2">
      <c r="A240" s="190" t="s">
        <v>340</v>
      </c>
      <c r="B240" s="191" t="s">
        <v>341</v>
      </c>
      <c r="C240" s="19">
        <f>+[1]BS17A!$D1923</f>
        <v>0</v>
      </c>
      <c r="D240" s="37">
        <f>+[1]BS17A!$U1923</f>
        <v>219670</v>
      </c>
      <c r="E240" s="145">
        <f>+[1]BS17A!$V1923</f>
        <v>0</v>
      </c>
      <c r="F240" s="8"/>
    </row>
    <row r="241" spans="1:6" ht="15" customHeight="1" x14ac:dyDescent="0.2">
      <c r="A241" s="192" t="s">
        <v>342</v>
      </c>
      <c r="B241" s="193" t="s">
        <v>343</v>
      </c>
      <c r="C241" s="24">
        <f>+[1]BS17A!$D1924</f>
        <v>0</v>
      </c>
      <c r="D241" s="25">
        <f>+[1]BS17A!$U1924</f>
        <v>31220</v>
      </c>
      <c r="E241" s="146">
        <f>+[1]BS17A!$V1924</f>
        <v>0</v>
      </c>
      <c r="F241" s="8"/>
    </row>
    <row r="242" spans="1:6" ht="15" customHeight="1" x14ac:dyDescent="0.2">
      <c r="A242" s="192" t="s">
        <v>344</v>
      </c>
      <c r="B242" s="193" t="s">
        <v>345</v>
      </c>
      <c r="C242" s="24">
        <f>+[1]BS17A!$D1925</f>
        <v>0</v>
      </c>
      <c r="D242" s="25">
        <f>+[1]BS17A!$U1925</f>
        <v>117730</v>
      </c>
      <c r="E242" s="146">
        <f>+[1]BS17A!$V1925</f>
        <v>0</v>
      </c>
      <c r="F242" s="8"/>
    </row>
    <row r="243" spans="1:6" ht="15" customHeight="1" x14ac:dyDescent="0.2">
      <c r="A243" s="192" t="s">
        <v>346</v>
      </c>
      <c r="B243" s="193" t="s">
        <v>347</v>
      </c>
      <c r="C243" s="24">
        <f>+[1]BS17A!$D1926</f>
        <v>0</v>
      </c>
      <c r="D243" s="25">
        <f>+[1]BS17A!$U1926</f>
        <v>117730</v>
      </c>
      <c r="E243" s="146">
        <f>+[1]BS17A!$V1926</f>
        <v>0</v>
      </c>
      <c r="F243" s="8"/>
    </row>
    <row r="244" spans="1:6" ht="15" customHeight="1" x14ac:dyDescent="0.2">
      <c r="A244" s="192" t="s">
        <v>348</v>
      </c>
      <c r="B244" s="193" t="s">
        <v>349</v>
      </c>
      <c r="C244" s="24">
        <f>+[1]BS17A!$D1927</f>
        <v>0</v>
      </c>
      <c r="D244" s="25">
        <f>+[1]BS17A!$U1927</f>
        <v>214360</v>
      </c>
      <c r="E244" s="146">
        <f>+[1]BS17A!$V1927</f>
        <v>0</v>
      </c>
      <c r="F244" s="8"/>
    </row>
    <row r="245" spans="1:6" ht="15" customHeight="1" x14ac:dyDescent="0.2">
      <c r="A245" s="192" t="s">
        <v>350</v>
      </c>
      <c r="B245" s="193" t="s">
        <v>351</v>
      </c>
      <c r="C245" s="24">
        <f>+[1]BS17A!$D1928</f>
        <v>0</v>
      </c>
      <c r="D245" s="25">
        <f>+[1]BS17A!$U1928</f>
        <v>328960</v>
      </c>
      <c r="E245" s="146">
        <f>+[1]BS17A!$V1928</f>
        <v>0</v>
      </c>
      <c r="F245" s="8"/>
    </row>
    <row r="246" spans="1:6" ht="15" customHeight="1" x14ac:dyDescent="0.2">
      <c r="A246" s="192" t="s">
        <v>352</v>
      </c>
      <c r="B246" s="193" t="s">
        <v>353</v>
      </c>
      <c r="C246" s="24">
        <f>+[1]BS17A!$D1929</f>
        <v>0</v>
      </c>
      <c r="D246" s="25">
        <f>+[1]BS17A!$U1929</f>
        <v>561180</v>
      </c>
      <c r="E246" s="146">
        <f>+[1]BS17A!$V1929</f>
        <v>0</v>
      </c>
      <c r="F246" s="8"/>
    </row>
    <row r="247" spans="1:6" ht="15" customHeight="1" x14ac:dyDescent="0.2">
      <c r="A247" s="194" t="s">
        <v>354</v>
      </c>
      <c r="B247" s="193" t="s">
        <v>355</v>
      </c>
      <c r="C247" s="24">
        <f>+[1]BS17A!$D1930</f>
        <v>0</v>
      </c>
      <c r="D247" s="25">
        <f>+[1]BS17A!$U1930</f>
        <v>116880</v>
      </c>
      <c r="E247" s="146">
        <f>+[1]BS17A!$V1930</f>
        <v>0</v>
      </c>
      <c r="F247" s="8"/>
    </row>
    <row r="248" spans="1:6" ht="15" customHeight="1" x14ac:dyDescent="0.2">
      <c r="A248" s="194" t="s">
        <v>356</v>
      </c>
      <c r="B248" s="193" t="s">
        <v>357</v>
      </c>
      <c r="C248" s="24">
        <f>+[1]BS17A!$D1931</f>
        <v>0</v>
      </c>
      <c r="D248" s="25">
        <f>+[1]BS17A!$U1931</f>
        <v>315020</v>
      </c>
      <c r="E248" s="146">
        <f>+[1]BS17A!$V1931</f>
        <v>0</v>
      </c>
      <c r="F248" s="8"/>
    </row>
    <row r="249" spans="1:6" ht="15" customHeight="1" x14ac:dyDescent="0.2">
      <c r="A249" s="194" t="s">
        <v>358</v>
      </c>
      <c r="B249" s="193" t="s">
        <v>359</v>
      </c>
      <c r="C249" s="66">
        <f>+[1]BS17A!$D1932</f>
        <v>0</v>
      </c>
      <c r="D249" s="32">
        <f>+[1]BS17A!$U1932</f>
        <v>132640</v>
      </c>
      <c r="E249" s="195">
        <f>+[1]BS17A!$V1932</f>
        <v>0</v>
      </c>
      <c r="F249" s="8"/>
    </row>
    <row r="250" spans="1:6" ht="15" customHeight="1" x14ac:dyDescent="0.2">
      <c r="A250" s="194" t="s">
        <v>360</v>
      </c>
      <c r="B250" s="193" t="s">
        <v>361</v>
      </c>
      <c r="C250" s="66">
        <f>+[1]BS17A!$D1933</f>
        <v>0</v>
      </c>
      <c r="D250" s="32">
        <f>+[1]BS17A!$U1933</f>
        <v>115270</v>
      </c>
      <c r="E250" s="195">
        <f>+[1]BS17A!$V1933</f>
        <v>0</v>
      </c>
      <c r="F250" s="8"/>
    </row>
    <row r="251" spans="1:6" ht="15" customHeight="1" x14ac:dyDescent="0.2">
      <c r="A251" s="194" t="s">
        <v>362</v>
      </c>
      <c r="B251" s="193" t="s">
        <v>363</v>
      </c>
      <c r="C251" s="66">
        <f>+[1]BS17A!$D1934</f>
        <v>0</v>
      </c>
      <c r="D251" s="32">
        <f>+[1]BS17A!$U1934</f>
        <v>175240</v>
      </c>
      <c r="E251" s="195">
        <f>+[1]BS17A!$V1934</f>
        <v>0</v>
      </c>
      <c r="F251" s="8"/>
    </row>
    <row r="252" spans="1:6" ht="15" customHeight="1" x14ac:dyDescent="0.2">
      <c r="A252" s="194" t="s">
        <v>364</v>
      </c>
      <c r="B252" s="193" t="s">
        <v>365</v>
      </c>
      <c r="C252" s="66">
        <f>+[1]BS17A!$D1935</f>
        <v>0</v>
      </c>
      <c r="D252" s="32">
        <f>+[1]BS17A!$U1935</f>
        <v>46120</v>
      </c>
      <c r="E252" s="195">
        <f>+[1]BS17A!$V1935</f>
        <v>0</v>
      </c>
      <c r="F252" s="8"/>
    </row>
    <row r="253" spans="1:6" ht="15" customHeight="1" x14ac:dyDescent="0.2">
      <c r="A253" s="196" t="s">
        <v>366</v>
      </c>
      <c r="B253" s="197" t="s">
        <v>367</v>
      </c>
      <c r="C253" s="31">
        <f>+[1]BS17A!$D1936</f>
        <v>0</v>
      </c>
      <c r="D253" s="40">
        <f>+[1]BS17A!$U1936</f>
        <v>34460</v>
      </c>
      <c r="E253" s="153">
        <f>+[1]BS17A!$V1936</f>
        <v>0</v>
      </c>
      <c r="F253" s="8"/>
    </row>
    <row r="254" spans="1:6" ht="15" customHeight="1" x14ac:dyDescent="0.2">
      <c r="A254" s="242" t="s">
        <v>368</v>
      </c>
      <c r="B254" s="243"/>
      <c r="C254" s="243"/>
      <c r="D254" s="243"/>
      <c r="E254" s="244"/>
      <c r="F254" s="8"/>
    </row>
    <row r="255" spans="1:6" ht="15" customHeight="1" x14ac:dyDescent="0.2">
      <c r="A255" s="17" t="s">
        <v>369</v>
      </c>
      <c r="B255" s="198" t="s">
        <v>341</v>
      </c>
      <c r="C255" s="19">
        <f>+[1]BS17A!$D1937</f>
        <v>0</v>
      </c>
      <c r="D255" s="37">
        <f>+[1]BS17A!$U1937</f>
        <v>188970</v>
      </c>
      <c r="E255" s="145">
        <f>+[1]BS17A!$V1937</f>
        <v>0</v>
      </c>
      <c r="F255" s="8"/>
    </row>
    <row r="256" spans="1:6" ht="15" customHeight="1" x14ac:dyDescent="0.2">
      <c r="A256" s="22" t="s">
        <v>370</v>
      </c>
      <c r="B256" s="34" t="s">
        <v>371</v>
      </c>
      <c r="C256" s="24">
        <f>+[1]BS17A!$D1938</f>
        <v>0</v>
      </c>
      <c r="D256" s="25">
        <f>+[1]BS17A!$U1938</f>
        <v>1124200</v>
      </c>
      <c r="E256" s="146">
        <f>+[1]BS17A!$V1938</f>
        <v>0</v>
      </c>
      <c r="F256" s="8"/>
    </row>
    <row r="257" spans="1:6" ht="15" customHeight="1" x14ac:dyDescent="0.2">
      <c r="A257" s="22" t="s">
        <v>372</v>
      </c>
      <c r="B257" s="34" t="s">
        <v>373</v>
      </c>
      <c r="C257" s="24">
        <f>+[1]BS17A!$D1939</f>
        <v>0</v>
      </c>
      <c r="D257" s="25">
        <f>+[1]BS17A!$U1939</f>
        <v>169610</v>
      </c>
      <c r="E257" s="146">
        <f>+[1]BS17A!$V1939</f>
        <v>0</v>
      </c>
      <c r="F257" s="8"/>
    </row>
    <row r="258" spans="1:6" ht="15" customHeight="1" x14ac:dyDescent="0.2">
      <c r="A258" s="22" t="s">
        <v>374</v>
      </c>
      <c r="B258" s="34" t="s">
        <v>375</v>
      </c>
      <c r="C258" s="24">
        <f>+[1]BS17A!$D1940</f>
        <v>0</v>
      </c>
      <c r="D258" s="25">
        <f>+[1]BS17A!$U1940</f>
        <v>149990</v>
      </c>
      <c r="E258" s="146">
        <f>+[1]BS17A!$V1940</f>
        <v>0</v>
      </c>
      <c r="F258" s="8"/>
    </row>
    <row r="259" spans="1:6" ht="15" customHeight="1" x14ac:dyDescent="0.2">
      <c r="A259" s="22" t="s">
        <v>376</v>
      </c>
      <c r="B259" s="34" t="s">
        <v>377</v>
      </c>
      <c r="C259" s="24">
        <f>+[1]BS17A!$D1941</f>
        <v>0</v>
      </c>
      <c r="D259" s="25">
        <f>+[1]BS17A!$U1941</f>
        <v>304480</v>
      </c>
      <c r="E259" s="146">
        <f>+[1]BS17A!$V1941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24">
        <f>+[1]BS17A!$D1942</f>
        <v>0</v>
      </c>
      <c r="D260" s="25">
        <f>+[1]BS17A!$U1942</f>
        <v>1012520</v>
      </c>
      <c r="E260" s="146">
        <f>+[1]BS17A!$V1942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24">
        <f>+[1]BS17A!$D1943</f>
        <v>0</v>
      </c>
      <c r="D261" s="25">
        <f>+[1]BS17A!$U1943</f>
        <v>1040530</v>
      </c>
      <c r="E261" s="146">
        <f>+[1]BS17A!$V1943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24">
        <f>+[1]BS17A!$D1944</f>
        <v>0</v>
      </c>
      <c r="D262" s="25">
        <f>+[1]BS17A!$U1944</f>
        <v>823870</v>
      </c>
      <c r="E262" s="146">
        <f>+[1]BS17A!$V1944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24">
        <f>+[1]BS17A!$D1945</f>
        <v>0</v>
      </c>
      <c r="D263" s="25">
        <f>+[1]BS17A!$U1945</f>
        <v>868290</v>
      </c>
      <c r="E263" s="146">
        <f>+[1]BS17A!$V1945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24">
        <f>+[1]BS17A!$D1946</f>
        <v>0</v>
      </c>
      <c r="D264" s="25">
        <f>+[1]BS17A!$U1946</f>
        <v>342530</v>
      </c>
      <c r="E264" s="146">
        <f>+[1]BS17A!$V1946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24">
        <f>+[1]BS17A!$D1947</f>
        <v>0</v>
      </c>
      <c r="D265" s="25">
        <f>+[1]BS17A!$U1947</f>
        <v>82030</v>
      </c>
      <c r="E265" s="146">
        <f>+[1]BS17A!$V1947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24">
        <f>+[1]BS17A!$D1948</f>
        <v>0</v>
      </c>
      <c r="D266" s="25">
        <f>+[1]BS17A!$U1948</f>
        <v>244730</v>
      </c>
      <c r="E266" s="146">
        <f>+[1]BS17A!$V1948</f>
        <v>0</v>
      </c>
      <c r="F266" s="8"/>
    </row>
    <row r="267" spans="1:6" ht="15" customHeight="1" x14ac:dyDescent="0.2">
      <c r="A267" s="22" t="s">
        <v>392</v>
      </c>
      <c r="B267" s="23" t="s">
        <v>393</v>
      </c>
      <c r="C267" s="24">
        <f>+[1]BS17A!$D1949</f>
        <v>0</v>
      </c>
      <c r="D267" s="25">
        <f>+[1]BS17A!$U1949</f>
        <v>69200</v>
      </c>
      <c r="E267" s="146">
        <f>+[1]BS17A!$V1949</f>
        <v>0</v>
      </c>
      <c r="F267" s="8"/>
    </row>
    <row r="268" spans="1:6" ht="15" customHeight="1" x14ac:dyDescent="0.2">
      <c r="A268" s="22" t="s">
        <v>394</v>
      </c>
      <c r="B268" s="23" t="s">
        <v>395</v>
      </c>
      <c r="C268" s="24">
        <f>+[1]BS17A!$D1950</f>
        <v>0</v>
      </c>
      <c r="D268" s="25">
        <f>+[1]BS17A!$U1950</f>
        <v>1189020</v>
      </c>
      <c r="E268" s="146">
        <f>+[1]BS17A!$V1950</f>
        <v>0</v>
      </c>
      <c r="F268" s="8"/>
    </row>
    <row r="269" spans="1:6" ht="15" customHeight="1" x14ac:dyDescent="0.2">
      <c r="A269" s="22" t="s">
        <v>396</v>
      </c>
      <c r="B269" s="23" t="s">
        <v>397</v>
      </c>
      <c r="C269" s="24">
        <f>+[1]BS17A!$D1951</f>
        <v>0</v>
      </c>
      <c r="D269" s="25">
        <f>+[1]BS17A!$U1951</f>
        <v>278030</v>
      </c>
      <c r="E269" s="146">
        <f>+[1]BS17A!$V1951</f>
        <v>0</v>
      </c>
      <c r="F269" s="8"/>
    </row>
    <row r="270" spans="1:6" ht="15" customHeight="1" x14ac:dyDescent="0.2">
      <c r="A270" s="22" t="s">
        <v>398</v>
      </c>
      <c r="B270" s="23" t="s">
        <v>399</v>
      </c>
      <c r="C270" s="24">
        <f>+[1]BS17A!$D1952</f>
        <v>0</v>
      </c>
      <c r="D270" s="25">
        <f>+[1]BS17A!$U1952</f>
        <v>931380</v>
      </c>
      <c r="E270" s="146">
        <f>+[1]BS17A!$V1952</f>
        <v>0</v>
      </c>
      <c r="F270" s="8"/>
    </row>
    <row r="271" spans="1:6" ht="15" customHeight="1" x14ac:dyDescent="0.2">
      <c r="A271" s="22" t="s">
        <v>400</v>
      </c>
      <c r="B271" s="30" t="s">
        <v>401</v>
      </c>
      <c r="C271" s="24">
        <f>+[1]BS17A!$D1953</f>
        <v>0</v>
      </c>
      <c r="D271" s="25">
        <f>+[1]BS17A!$U1953</f>
        <v>570190</v>
      </c>
      <c r="E271" s="146">
        <f>+[1]BS17A!$V1953</f>
        <v>0</v>
      </c>
      <c r="F271" s="8"/>
    </row>
    <row r="272" spans="1:6" ht="15" customHeight="1" x14ac:dyDescent="0.2">
      <c r="A272" s="29" t="s">
        <v>402</v>
      </c>
      <c r="B272" s="30" t="s">
        <v>403</v>
      </c>
      <c r="C272" s="31">
        <f>+[1]BS17A!$D1954</f>
        <v>0</v>
      </c>
      <c r="D272" s="32">
        <f>+[1]BS17A!$U1954</f>
        <v>465310</v>
      </c>
      <c r="E272" s="195">
        <f>+[1]BS17A!$V1954</f>
        <v>0</v>
      </c>
      <c r="F272" s="8"/>
    </row>
    <row r="273" spans="1:10" ht="15" customHeight="1" x14ac:dyDescent="0.2">
      <c r="A273" s="242" t="s">
        <v>404</v>
      </c>
      <c r="B273" s="243"/>
      <c r="C273" s="243"/>
      <c r="D273" s="243"/>
      <c r="E273" s="244"/>
      <c r="F273" s="8"/>
    </row>
    <row r="274" spans="1:10" ht="15" customHeight="1" x14ac:dyDescent="0.2">
      <c r="A274" s="17" t="s">
        <v>405</v>
      </c>
      <c r="B274" s="18" t="s">
        <v>406</v>
      </c>
      <c r="C274" s="70">
        <f>+[1]BS17A!$D1955</f>
        <v>0</v>
      </c>
      <c r="D274" s="20">
        <f>[1]BS17A!U1955</f>
        <v>250830</v>
      </c>
      <c r="E274" s="199">
        <f>+[1]BS17A!$V1955</f>
        <v>0</v>
      </c>
      <c r="F274" s="8"/>
    </row>
    <row r="275" spans="1:10" ht="15" customHeight="1" x14ac:dyDescent="0.2">
      <c r="A275" s="22" t="s">
        <v>407</v>
      </c>
      <c r="B275" s="23" t="s">
        <v>408</v>
      </c>
      <c r="C275" s="24">
        <f>+[1]BS17A!$D1956</f>
        <v>0</v>
      </c>
      <c r="D275" s="25">
        <f>[1]BS17A!U1956</f>
        <v>146240</v>
      </c>
      <c r="E275" s="146">
        <f>+[1]BS17A!$V1956</f>
        <v>0</v>
      </c>
      <c r="F275" s="8"/>
    </row>
    <row r="276" spans="1:10" ht="15" customHeight="1" x14ac:dyDescent="0.2">
      <c r="A276" s="22" t="s">
        <v>409</v>
      </c>
      <c r="B276" s="23" t="s">
        <v>410</v>
      </c>
      <c r="C276" s="24">
        <f>+[1]BS17A!$D1957</f>
        <v>0</v>
      </c>
      <c r="D276" s="25">
        <f>[1]BS17A!U1957</f>
        <v>353360</v>
      </c>
      <c r="E276" s="146">
        <f>+[1]BS17A!$V1957</f>
        <v>0</v>
      </c>
      <c r="F276" s="8"/>
    </row>
    <row r="277" spans="1:10" ht="15" customHeight="1" x14ac:dyDescent="0.2">
      <c r="A277" s="22" t="s">
        <v>411</v>
      </c>
      <c r="B277" s="23" t="s">
        <v>412</v>
      </c>
      <c r="C277" s="24">
        <f>+[1]BS17A!$D1958</f>
        <v>0</v>
      </c>
      <c r="D277" s="25">
        <f>[1]BS17A!U1958</f>
        <v>366190</v>
      </c>
      <c r="E277" s="146">
        <f>+[1]BS17A!$V1958</f>
        <v>0</v>
      </c>
      <c r="F277" s="8"/>
    </row>
    <row r="278" spans="1:10" ht="15" customHeight="1" x14ac:dyDescent="0.2">
      <c r="A278" s="29" t="s">
        <v>413</v>
      </c>
      <c r="B278" s="39" t="s">
        <v>414</v>
      </c>
      <c r="C278" s="31">
        <f>+[1]BS17A!$D1959</f>
        <v>0</v>
      </c>
      <c r="D278" s="40">
        <f>[1]BS17A!U1959</f>
        <v>228810</v>
      </c>
      <c r="E278" s="153">
        <f>+[1]BS17A!$V1959</f>
        <v>0</v>
      </c>
      <c r="F278" s="200"/>
    </row>
    <row r="279" spans="1:10" ht="15" customHeight="1" x14ac:dyDescent="0.2">
      <c r="A279" s="201" t="s">
        <v>415</v>
      </c>
      <c r="B279" s="202" t="s">
        <v>416</v>
      </c>
      <c r="C279" s="203">
        <f>+[1]BS17A!$D1960</f>
        <v>92</v>
      </c>
      <c r="D279" s="204">
        <f>[1]BS17A!U1960</f>
        <v>31110</v>
      </c>
      <c r="E279" s="189">
        <f>+[1]BS17A!$V1960</f>
        <v>2862120</v>
      </c>
      <c r="F279" s="200"/>
    </row>
    <row r="280" spans="1:10" ht="15" customHeight="1" x14ac:dyDescent="0.2">
      <c r="A280" s="130"/>
      <c r="B280" s="205" t="s">
        <v>417</v>
      </c>
      <c r="C280" s="44">
        <f>SUM(C240:C279)</f>
        <v>92</v>
      </c>
      <c r="D280" s="151"/>
      <c r="E280" s="152">
        <f>SUM(E240:E279)</f>
        <v>2862120</v>
      </c>
      <c r="F280" s="200"/>
    </row>
    <row r="281" spans="1:10" ht="18" customHeight="1" x14ac:dyDescent="0.2">
      <c r="A281" s="183"/>
      <c r="B281" s="8"/>
      <c r="C281" s="8"/>
      <c r="D281" s="183"/>
      <c r="E281" s="183"/>
      <c r="F281" s="8"/>
    </row>
    <row r="282" spans="1:10" ht="18" customHeight="1" x14ac:dyDescent="0.2">
      <c r="A282" s="183"/>
      <c r="B282" s="185"/>
      <c r="C282" s="185"/>
      <c r="D282" s="183"/>
      <c r="E282" s="183"/>
      <c r="F282" s="206"/>
      <c r="G282" s="207"/>
      <c r="J282" s="208"/>
    </row>
    <row r="283" spans="1:10" ht="12.75" customHeight="1" x14ac:dyDescent="0.2">
      <c r="A283" s="251" t="s">
        <v>418</v>
      </c>
      <c r="B283" s="254"/>
      <c r="C283" s="254"/>
      <c r="D283" s="254"/>
      <c r="E283" s="255"/>
      <c r="F283" s="8"/>
    </row>
    <row r="284" spans="1:10" ht="44.25" customHeight="1" x14ac:dyDescent="0.2">
      <c r="A284" s="11" t="s">
        <v>8</v>
      </c>
      <c r="B284" s="11" t="s">
        <v>418</v>
      </c>
      <c r="C284" s="12" t="s">
        <v>339</v>
      </c>
      <c r="D284" s="13" t="s">
        <v>11</v>
      </c>
      <c r="E284" s="14" t="s">
        <v>12</v>
      </c>
      <c r="F284" s="200"/>
    </row>
    <row r="285" spans="1:10" ht="15" customHeight="1" x14ac:dyDescent="0.2">
      <c r="A285" s="17" t="s">
        <v>419</v>
      </c>
      <c r="B285" s="209" t="s">
        <v>420</v>
      </c>
      <c r="C285" s="19">
        <f>+[1]BS17A!$D1962</f>
        <v>8</v>
      </c>
      <c r="D285" s="37">
        <f>+[1]BS17A!$U1962</f>
        <v>6120</v>
      </c>
      <c r="E285" s="145">
        <f>+[1]BS17A!$V1962</f>
        <v>48960</v>
      </c>
      <c r="F285" s="8"/>
    </row>
    <row r="286" spans="1:10" ht="15" customHeight="1" x14ac:dyDescent="0.2">
      <c r="A286" s="22" t="s">
        <v>421</v>
      </c>
      <c r="B286" s="210" t="s">
        <v>422</v>
      </c>
      <c r="C286" s="24">
        <f>+[1]BS17A!$D1963</f>
        <v>0</v>
      </c>
      <c r="D286" s="25">
        <f>+[1]BS17A!$U1963</f>
        <v>3260</v>
      </c>
      <c r="E286" s="146">
        <f>+[1]BS17A!$V1963</f>
        <v>0</v>
      </c>
      <c r="F286" s="8"/>
    </row>
    <row r="287" spans="1:10" ht="15" customHeight="1" x14ac:dyDescent="0.2">
      <c r="A287" s="22" t="s">
        <v>423</v>
      </c>
      <c r="B287" s="210" t="s">
        <v>424</v>
      </c>
      <c r="C287" s="24">
        <f>+[1]BS17A!$D1964</f>
        <v>5</v>
      </c>
      <c r="D287" s="25">
        <f>+[1]BS17A!$U1964</f>
        <v>12280</v>
      </c>
      <c r="E287" s="146">
        <f>+[1]BS17A!$V1964</f>
        <v>61400</v>
      </c>
      <c r="F287" s="8"/>
    </row>
    <row r="288" spans="1:10" ht="15" customHeight="1" x14ac:dyDescent="0.2">
      <c r="A288" s="22" t="s">
        <v>425</v>
      </c>
      <c r="B288" s="210" t="s">
        <v>426</v>
      </c>
      <c r="C288" s="24">
        <f>+[1]BS17A!$D1965</f>
        <v>0</v>
      </c>
      <c r="D288" s="25">
        <f>+[1]BS17A!$U1965</f>
        <v>125980</v>
      </c>
      <c r="E288" s="146">
        <f>+[1]BS17A!$V1965</f>
        <v>0</v>
      </c>
      <c r="F288" s="8"/>
    </row>
    <row r="289" spans="1:7" ht="15" customHeight="1" x14ac:dyDescent="0.2">
      <c r="A289" s="29" t="s">
        <v>427</v>
      </c>
      <c r="B289" s="211" t="s">
        <v>428</v>
      </c>
      <c r="C289" s="31">
        <f>+[1]BS17A!$D1966</f>
        <v>0</v>
      </c>
      <c r="D289" s="40">
        <f>+[1]BS17A!$U1966</f>
        <v>691940</v>
      </c>
      <c r="E289" s="153">
        <f>+[1]BS17A!$V1966</f>
        <v>0</v>
      </c>
      <c r="F289" s="8"/>
    </row>
    <row r="290" spans="1:7" ht="15" customHeight="1" x14ac:dyDescent="0.2">
      <c r="A290" s="130"/>
      <c r="B290" s="131" t="s">
        <v>429</v>
      </c>
      <c r="C290" s="56">
        <f>SUM(C285:C289)</f>
        <v>13</v>
      </c>
      <c r="D290" s="57"/>
      <c r="E290" s="107">
        <f>SUM(E285:E289)</f>
        <v>110360</v>
      </c>
      <c r="F290" s="8"/>
    </row>
    <row r="291" spans="1:7" ht="18" customHeight="1" x14ac:dyDescent="0.2">
      <c r="A291" s="183"/>
      <c r="B291" s="185"/>
      <c r="C291" s="183"/>
      <c r="D291" s="183"/>
      <c r="E291" s="183"/>
      <c r="F291" s="8"/>
    </row>
    <row r="292" spans="1:7" ht="18" customHeight="1" x14ac:dyDescent="0.2">
      <c r="A292" s="183"/>
      <c r="B292" s="185"/>
      <c r="C292" s="183"/>
      <c r="D292" s="183"/>
      <c r="E292" s="183"/>
      <c r="F292" s="212"/>
      <c r="G292" s="10"/>
    </row>
    <row r="293" spans="1:7" ht="12.75" x14ac:dyDescent="0.2">
      <c r="A293" s="242" t="s">
        <v>430</v>
      </c>
      <c r="B293" s="243"/>
      <c r="C293" s="243"/>
      <c r="D293" s="243"/>
      <c r="E293" s="244"/>
      <c r="F293" s="213"/>
      <c r="G293" s="10"/>
    </row>
    <row r="294" spans="1:7" ht="36.75" customHeight="1" x14ac:dyDescent="0.2">
      <c r="A294" s="11" t="s">
        <v>8</v>
      </c>
      <c r="B294" s="214" t="s">
        <v>430</v>
      </c>
      <c r="C294" s="215" t="s">
        <v>431</v>
      </c>
      <c r="D294" s="13" t="s">
        <v>11</v>
      </c>
      <c r="E294" s="14" t="s">
        <v>12</v>
      </c>
      <c r="F294" s="213"/>
      <c r="G294" s="10"/>
    </row>
    <row r="295" spans="1:7" ht="15" customHeight="1" x14ac:dyDescent="0.2">
      <c r="A295" s="17" t="s">
        <v>432</v>
      </c>
      <c r="B295" s="36" t="s">
        <v>433</v>
      </c>
      <c r="C295" s="19">
        <f>+[1]BS17A!$D1851</f>
        <v>273</v>
      </c>
      <c r="D295" s="37">
        <f>+[1]BS17A!$U1851</f>
        <v>16380</v>
      </c>
      <c r="E295" s="145">
        <f>+[1]BS17A!$V1851</f>
        <v>4471740</v>
      </c>
      <c r="F295" s="8"/>
    </row>
    <row r="296" spans="1:7" ht="15" customHeight="1" x14ac:dyDescent="0.2">
      <c r="A296" s="22" t="s">
        <v>434</v>
      </c>
      <c r="B296" s="28" t="s">
        <v>435</v>
      </c>
      <c r="C296" s="24">
        <f>+[1]BS17A!$D1852</f>
        <v>185</v>
      </c>
      <c r="D296" s="25">
        <f>+[1]BS17A!$U1852</f>
        <v>51500</v>
      </c>
      <c r="E296" s="146">
        <f>+[1]BS17A!$V1852</f>
        <v>9527500</v>
      </c>
      <c r="F296" s="8"/>
    </row>
    <row r="297" spans="1:7" ht="15" customHeight="1" x14ac:dyDescent="0.2">
      <c r="A297" s="22" t="s">
        <v>436</v>
      </c>
      <c r="B297" s="28" t="s">
        <v>437</v>
      </c>
      <c r="C297" s="24">
        <f>+[1]BS17A!$D1853</f>
        <v>0</v>
      </c>
      <c r="D297" s="25">
        <f>+[1]BS17A!$U1853</f>
        <v>63840</v>
      </c>
      <c r="E297" s="146">
        <f>+[1]BS17A!$V1853</f>
        <v>0</v>
      </c>
      <c r="F297" s="8"/>
    </row>
    <row r="298" spans="1:7" ht="15" customHeight="1" x14ac:dyDescent="0.2">
      <c r="A298" s="22" t="s">
        <v>438</v>
      </c>
      <c r="B298" s="28" t="s">
        <v>439</v>
      </c>
      <c r="C298" s="24">
        <f>+[1]BS17A!$D1854</f>
        <v>133</v>
      </c>
      <c r="D298" s="25">
        <f>+[1]BS17A!$U1854</f>
        <v>2250</v>
      </c>
      <c r="E298" s="146">
        <f>+[1]BS17A!$V1854</f>
        <v>299250</v>
      </c>
      <c r="F298" s="8"/>
    </row>
    <row r="299" spans="1:7" ht="15" customHeight="1" x14ac:dyDescent="0.2">
      <c r="A299" s="22" t="s">
        <v>440</v>
      </c>
      <c r="B299" s="28" t="s">
        <v>441</v>
      </c>
      <c r="C299" s="24">
        <f>+[1]BS17A!$D1855</f>
        <v>0</v>
      </c>
      <c r="D299" s="25">
        <f>+[1]BS17A!$U1855</f>
        <v>70</v>
      </c>
      <c r="E299" s="146">
        <f>+[1]BS17A!$V1855</f>
        <v>0</v>
      </c>
      <c r="F299" s="8"/>
    </row>
    <row r="300" spans="1:7" ht="15" customHeight="1" x14ac:dyDescent="0.2">
      <c r="A300" s="22" t="s">
        <v>442</v>
      </c>
      <c r="B300" s="23" t="s">
        <v>443</v>
      </c>
      <c r="C300" s="24">
        <f>+[1]BS17A!$D1856</f>
        <v>0</v>
      </c>
      <c r="D300" s="25">
        <f>+[1]BS17A!$U1856</f>
        <v>135560</v>
      </c>
      <c r="E300" s="146">
        <f>+[1]BS17A!$V1856</f>
        <v>0</v>
      </c>
      <c r="F300" s="8"/>
    </row>
    <row r="301" spans="1:7" ht="15" customHeight="1" x14ac:dyDescent="0.2">
      <c r="A301" s="29" t="s">
        <v>444</v>
      </c>
      <c r="B301" s="43" t="s">
        <v>445</v>
      </c>
      <c r="C301" s="31">
        <f>+[1]BS17A!$D1857</f>
        <v>0</v>
      </c>
      <c r="D301" s="40">
        <f>+[1]BS17A!$U1857</f>
        <v>9220</v>
      </c>
      <c r="E301" s="153">
        <f>+[1]BS17A!$V1857</f>
        <v>0</v>
      </c>
      <c r="F301" s="8"/>
    </row>
    <row r="302" spans="1:7" ht="15" customHeight="1" x14ac:dyDescent="0.2">
      <c r="A302" s="96"/>
      <c r="B302" s="246" t="s">
        <v>446</v>
      </c>
      <c r="C302" s="247"/>
      <c r="D302" s="188"/>
      <c r="E302" s="217">
        <f>SUM(E295:E301)</f>
        <v>14298490</v>
      </c>
      <c r="F302" s="8"/>
    </row>
    <row r="303" spans="1:7" ht="12.75" x14ac:dyDescent="0.2">
      <c r="A303" s="8"/>
      <c r="B303" s="8"/>
      <c r="C303" s="8"/>
      <c r="D303" s="8"/>
      <c r="E303" s="8"/>
      <c r="F303" s="175"/>
      <c r="G303" s="182"/>
    </row>
    <row r="304" spans="1:7" ht="12.75" x14ac:dyDescent="0.2">
      <c r="A304" s="8"/>
      <c r="B304" s="8"/>
      <c r="C304" s="8"/>
      <c r="D304" s="8"/>
      <c r="E304" s="8"/>
      <c r="F304" s="175"/>
      <c r="G304" s="182"/>
    </row>
    <row r="305" spans="1:7" ht="12.75" x14ac:dyDescent="0.2">
      <c r="A305" s="239" t="s">
        <v>447</v>
      </c>
      <c r="B305" s="240"/>
      <c r="C305" s="240"/>
      <c r="D305" s="240"/>
      <c r="E305" s="241"/>
      <c r="F305" s="175"/>
      <c r="G305" s="182"/>
    </row>
    <row r="306" spans="1:7" ht="12.75" x14ac:dyDescent="0.2">
      <c r="A306" s="218"/>
      <c r="B306" s="248" t="s">
        <v>448</v>
      </c>
      <c r="C306" s="249"/>
      <c r="D306" s="250"/>
      <c r="E306" s="219">
        <f>+E231+E236+E280+E290+E302</f>
        <v>24033300</v>
      </c>
      <c r="F306" s="8"/>
    </row>
    <row r="307" spans="1:7" ht="12.75" x14ac:dyDescent="0.2">
      <c r="A307" s="8"/>
      <c r="B307" s="8"/>
      <c r="C307" s="8"/>
      <c r="D307" s="8"/>
      <c r="E307" s="8"/>
      <c r="F307" s="175"/>
      <c r="G307" s="182"/>
    </row>
    <row r="308" spans="1:7" ht="12.75" x14ac:dyDescent="0.2">
      <c r="A308" s="8"/>
      <c r="B308" s="8"/>
      <c r="C308" s="8"/>
      <c r="D308" s="8"/>
      <c r="E308" s="8"/>
      <c r="F308" s="175"/>
      <c r="G308" s="182"/>
    </row>
    <row r="309" spans="1:7" ht="12.75" x14ac:dyDescent="0.2">
      <c r="A309" s="239" t="s">
        <v>449</v>
      </c>
      <c r="B309" s="240"/>
      <c r="C309" s="240"/>
      <c r="D309" s="240"/>
      <c r="E309" s="241"/>
      <c r="F309" s="175"/>
      <c r="G309" s="182"/>
    </row>
    <row r="310" spans="1:7" ht="25.5" x14ac:dyDescent="0.2">
      <c r="A310" s="242" t="s">
        <v>450</v>
      </c>
      <c r="B310" s="243"/>
      <c r="C310" s="243"/>
      <c r="D310" s="244"/>
      <c r="E310" s="11" t="s">
        <v>12</v>
      </c>
      <c r="F310" s="175"/>
      <c r="G310" s="182"/>
    </row>
    <row r="311" spans="1:7" ht="15" customHeight="1" x14ac:dyDescent="0.2">
      <c r="A311" s="218"/>
      <c r="B311" s="248" t="s">
        <v>451</v>
      </c>
      <c r="C311" s="249"/>
      <c r="D311" s="250"/>
      <c r="E311" s="219">
        <f>+E50+E76+E84+F109+E116+C121+E148+E155+E167+E203+E217+C224+E306</f>
        <v>590074865</v>
      </c>
      <c r="F311" s="175"/>
      <c r="G311" s="182"/>
    </row>
    <row r="312" spans="1:7" ht="18" customHeight="1" x14ac:dyDescent="0.2">
      <c r="A312" s="8"/>
      <c r="B312" s="8"/>
      <c r="C312" s="8"/>
      <c r="D312" s="8"/>
      <c r="E312" s="8"/>
      <c r="F312" s="5"/>
    </row>
    <row r="313" spans="1:7" ht="18" customHeight="1" x14ac:dyDescent="0.2">
      <c r="A313" s="8"/>
      <c r="B313" s="8"/>
      <c r="C313" s="8"/>
      <c r="D313" s="8"/>
      <c r="E313" s="8"/>
      <c r="F313" s="5"/>
    </row>
    <row r="314" spans="1:7" ht="18" customHeight="1" x14ac:dyDescent="0.2">
      <c r="A314" s="239" t="s">
        <v>452</v>
      </c>
      <c r="B314" s="240"/>
      <c r="C314" s="241"/>
      <c r="D314" s="8"/>
      <c r="E314" s="8"/>
      <c r="F314" s="5"/>
    </row>
    <row r="315" spans="1:7" ht="18" customHeight="1" x14ac:dyDescent="0.2">
      <c r="A315" s="242" t="s">
        <v>453</v>
      </c>
      <c r="B315" s="243"/>
      <c r="C315" s="244"/>
      <c r="D315" s="8"/>
      <c r="E315" s="8"/>
      <c r="F315" s="5"/>
    </row>
    <row r="316" spans="1:7" ht="30.75" customHeight="1" x14ac:dyDescent="0.2">
      <c r="A316" s="239" t="s">
        <v>454</v>
      </c>
      <c r="B316" s="240"/>
      <c r="C316" s="11" t="s">
        <v>455</v>
      </c>
      <c r="D316" s="8"/>
      <c r="E316" s="8"/>
      <c r="F316" s="8"/>
    </row>
    <row r="317" spans="1:7" ht="15" customHeight="1" x14ac:dyDescent="0.2">
      <c r="A317" s="220" t="s">
        <v>456</v>
      </c>
      <c r="B317" s="191"/>
      <c r="C317" s="221"/>
      <c r="D317" s="8"/>
      <c r="E317" s="8"/>
      <c r="F317" s="8"/>
    </row>
    <row r="318" spans="1:7" ht="15" customHeight="1" x14ac:dyDescent="0.2">
      <c r="A318" s="24" t="s">
        <v>457</v>
      </c>
      <c r="B318" s="193"/>
      <c r="C318" s="222"/>
      <c r="D318" s="8"/>
      <c r="E318" s="8"/>
      <c r="F318" s="8"/>
    </row>
    <row r="319" spans="1:7" ht="15" customHeight="1" x14ac:dyDescent="0.2">
      <c r="A319" s="24" t="s">
        <v>458</v>
      </c>
      <c r="B319" s="193"/>
      <c r="C319" s="222"/>
      <c r="D319" s="8"/>
      <c r="E319" s="8"/>
      <c r="F319" s="8"/>
    </row>
    <row r="320" spans="1:7" ht="15" customHeight="1" x14ac:dyDescent="0.2">
      <c r="A320" s="223" t="s">
        <v>459</v>
      </c>
      <c r="B320" s="193"/>
      <c r="C320" s="222"/>
      <c r="D320" s="8"/>
      <c r="E320" s="8"/>
      <c r="F320" s="8"/>
    </row>
    <row r="321" spans="1:6" ht="15" customHeight="1" x14ac:dyDescent="0.2">
      <c r="A321" s="224" t="s">
        <v>460</v>
      </c>
      <c r="B321" s="225"/>
      <c r="C321" s="226">
        <f>SUM(C317:C320)</f>
        <v>0</v>
      </c>
      <c r="D321" s="8"/>
      <c r="E321" s="8"/>
      <c r="F321" s="8"/>
    </row>
    <row r="322" spans="1:6" ht="15" customHeight="1" x14ac:dyDescent="0.2">
      <c r="A322" s="19" t="s">
        <v>461</v>
      </c>
      <c r="B322" s="227"/>
      <c r="C322" s="221">
        <v>4255700</v>
      </c>
      <c r="D322" s="8"/>
      <c r="E322" s="8"/>
      <c r="F322" s="8"/>
    </row>
    <row r="323" spans="1:6" ht="15" customHeight="1" x14ac:dyDescent="0.2">
      <c r="A323" s="228" t="s">
        <v>462</v>
      </c>
      <c r="B323" s="229"/>
      <c r="C323" s="222"/>
      <c r="D323" s="8"/>
      <c r="E323" s="8"/>
      <c r="F323" s="8"/>
    </row>
    <row r="324" spans="1:6" ht="15" customHeight="1" x14ac:dyDescent="0.2">
      <c r="A324" s="24" t="s">
        <v>463</v>
      </c>
      <c r="B324" s="229"/>
      <c r="C324" s="222"/>
      <c r="D324" s="8"/>
      <c r="E324" s="8"/>
      <c r="F324" s="8"/>
    </row>
    <row r="325" spans="1:6" ht="15" customHeight="1" x14ac:dyDescent="0.2">
      <c r="A325" s="24" t="s">
        <v>464</v>
      </c>
      <c r="B325" s="229"/>
      <c r="C325" s="222"/>
      <c r="D325" s="8"/>
      <c r="E325" s="8"/>
      <c r="F325" s="8"/>
    </row>
    <row r="326" spans="1:6" ht="15" customHeight="1" x14ac:dyDescent="0.2">
      <c r="A326" s="228" t="s">
        <v>465</v>
      </c>
      <c r="B326" s="229"/>
      <c r="C326" s="222"/>
      <c r="D326" s="8"/>
      <c r="E326" s="8"/>
      <c r="F326" s="8"/>
    </row>
    <row r="327" spans="1:6" ht="15" customHeight="1" x14ac:dyDescent="0.2">
      <c r="A327" s="228" t="s">
        <v>466</v>
      </c>
      <c r="B327" s="229"/>
      <c r="C327" s="222"/>
      <c r="D327" s="8"/>
      <c r="E327" s="8"/>
      <c r="F327" s="8"/>
    </row>
    <row r="328" spans="1:6" ht="15" customHeight="1" x14ac:dyDescent="0.2">
      <c r="A328" s="230" t="s">
        <v>467</v>
      </c>
      <c r="B328" s="231"/>
      <c r="C328" s="232">
        <v>40235370</v>
      </c>
      <c r="D328" s="8"/>
      <c r="E328" s="8"/>
      <c r="F328" s="8"/>
    </row>
    <row r="329" spans="1:6" ht="15" customHeight="1" x14ac:dyDescent="0.2">
      <c r="A329" s="44"/>
      <c r="B329" s="233" t="s">
        <v>468</v>
      </c>
      <c r="C329" s="163">
        <f>SUM(C321:C328)</f>
        <v>44491070</v>
      </c>
      <c r="D329" s="8"/>
      <c r="E329" s="8"/>
      <c r="F329" s="8"/>
    </row>
    <row r="330" spans="1:6" ht="12.75" x14ac:dyDescent="0.2">
      <c r="A330" s="8"/>
      <c r="B330" s="8"/>
      <c r="C330" s="8"/>
      <c r="D330" s="8"/>
      <c r="E330" s="8"/>
      <c r="F330" s="5"/>
    </row>
    <row r="331" spans="1:6" ht="12.75" x14ac:dyDescent="0.2">
      <c r="A331" s="8"/>
      <c r="B331" s="8"/>
      <c r="C331" s="8"/>
      <c r="D331" s="8"/>
      <c r="E331" s="8"/>
      <c r="F331" s="5"/>
    </row>
    <row r="332" spans="1:6" ht="12.75" x14ac:dyDescent="0.2">
      <c r="A332" s="8"/>
      <c r="B332" s="8"/>
      <c r="C332" s="8"/>
      <c r="D332" s="8"/>
      <c r="E332" s="8"/>
      <c r="F332" s="5"/>
    </row>
    <row r="333" spans="1:6" ht="12.75" x14ac:dyDescent="0.2">
      <c r="A333" s="183"/>
      <c r="B333" s="183"/>
      <c r="C333" s="183"/>
      <c r="D333" s="183"/>
      <c r="E333" s="183"/>
      <c r="F333" s="212"/>
    </row>
    <row r="334" spans="1:6" ht="12.75" x14ac:dyDescent="0.2">
      <c r="A334" s="183"/>
      <c r="B334" s="183"/>
      <c r="C334" s="183"/>
      <c r="D334" s="183"/>
      <c r="E334" s="245" t="str">
        <f>[1]NOMBRE!B12</f>
        <v xml:space="preserve">SRA. MARIA INES NUÑEZ GONZALEZ </v>
      </c>
      <c r="F334" s="245"/>
    </row>
    <row r="335" spans="1:6" ht="12.75" x14ac:dyDescent="0.2">
      <c r="A335" s="183"/>
      <c r="B335" s="183"/>
      <c r="C335" s="183"/>
      <c r="D335" s="185"/>
      <c r="E335" s="238" t="str">
        <f>[1]NOMBRE!A12</f>
        <v>Jefe de Estadisticas</v>
      </c>
      <c r="F335" s="238"/>
    </row>
    <row r="336" spans="1:6" ht="12.75" x14ac:dyDescent="0.2">
      <c r="A336" s="183"/>
      <c r="B336" s="183"/>
      <c r="C336" s="183"/>
      <c r="D336" s="183"/>
      <c r="E336" s="234"/>
      <c r="F336" s="235"/>
    </row>
    <row r="337" spans="1:6" ht="12.75" x14ac:dyDescent="0.2">
      <c r="A337" s="183"/>
      <c r="B337" s="183"/>
      <c r="C337" s="183"/>
      <c r="D337" s="183"/>
      <c r="E337" s="235"/>
      <c r="F337" s="235"/>
    </row>
    <row r="338" spans="1:6" ht="12.75" x14ac:dyDescent="0.2">
      <c r="A338" s="183"/>
      <c r="B338" s="183"/>
      <c r="C338" s="183"/>
      <c r="D338" s="183"/>
      <c r="E338" s="235"/>
      <c r="F338" s="235"/>
    </row>
    <row r="339" spans="1:6" ht="12.75" x14ac:dyDescent="0.2">
      <c r="A339" s="183"/>
      <c r="B339" s="183"/>
      <c r="C339" s="183"/>
      <c r="D339" s="183"/>
      <c r="E339" s="235"/>
      <c r="F339" s="235"/>
    </row>
    <row r="340" spans="1:6" ht="12.75" x14ac:dyDescent="0.2">
      <c r="A340" s="183"/>
      <c r="B340" s="183"/>
      <c r="C340" s="183"/>
      <c r="D340" s="183"/>
      <c r="E340" s="235"/>
      <c r="F340" s="235"/>
    </row>
    <row r="341" spans="1:6" ht="12.75" x14ac:dyDescent="0.2">
      <c r="A341" s="183"/>
      <c r="B341" s="183"/>
      <c r="C341" s="183"/>
      <c r="D341" s="183"/>
      <c r="E341" s="235"/>
      <c r="F341" s="235"/>
    </row>
    <row r="342" spans="1:6" ht="12.75" x14ac:dyDescent="0.2">
      <c r="A342" s="183"/>
      <c r="B342" s="183"/>
      <c r="C342" s="183"/>
      <c r="D342" s="183"/>
      <c r="E342" s="235"/>
      <c r="F342" s="235"/>
    </row>
    <row r="343" spans="1:6" ht="12.75" x14ac:dyDescent="0.2">
      <c r="A343" s="183"/>
      <c r="B343" s="183"/>
      <c r="C343" s="183"/>
      <c r="D343" s="183"/>
      <c r="E343" s="245" t="str">
        <f>[1]NOMBRE!B11</f>
        <v>DRA. RUTH  ISABEL MUÑOZ ESPINOZA</v>
      </c>
      <c r="F343" s="245"/>
    </row>
    <row r="344" spans="1:6" ht="22.5" customHeight="1" x14ac:dyDescent="0.2">
      <c r="A344" s="183"/>
      <c r="B344" s="183"/>
      <c r="C344" s="183"/>
      <c r="D344" s="212"/>
      <c r="E344" s="238" t="str">
        <f>CONCATENATE("Director ",[1]NOMBRE!B1)</f>
        <v xml:space="preserve">Director </v>
      </c>
      <c r="F344" s="238"/>
    </row>
    <row r="345" spans="1:6" ht="12.75" x14ac:dyDescent="0.2">
      <c r="A345" s="183"/>
      <c r="B345" s="183"/>
      <c r="C345" s="183"/>
      <c r="D345" s="236"/>
      <c r="E345" s="183"/>
      <c r="F345" s="212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27:E227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0:E170"/>
    <mergeCell ref="A206:E206"/>
    <mergeCell ref="A220:C220"/>
    <mergeCell ref="B311:D311"/>
    <mergeCell ref="A234:E234"/>
    <mergeCell ref="A238:E238"/>
    <mergeCell ref="A254:E254"/>
    <mergeCell ref="A273:E273"/>
    <mergeCell ref="A283:E283"/>
    <mergeCell ref="A293:E293"/>
    <mergeCell ref="B302:C302"/>
    <mergeCell ref="A305:E305"/>
    <mergeCell ref="B306:D306"/>
    <mergeCell ref="A309:E309"/>
    <mergeCell ref="A310:D310"/>
    <mergeCell ref="E344:F344"/>
    <mergeCell ref="A314:C314"/>
    <mergeCell ref="A315:C315"/>
    <mergeCell ref="A316:B316"/>
    <mergeCell ref="E334:F334"/>
    <mergeCell ref="E335:F335"/>
    <mergeCell ref="E343:F3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topLeftCell="A43" workbookViewId="0">
      <selection activeCell="E56" sqref="E56"/>
    </sheetView>
  </sheetViews>
  <sheetFormatPr baseColWidth="10" defaultRowHeight="10.5" x14ac:dyDescent="0.15"/>
  <cols>
    <col min="1" max="1" width="15" style="4" customWidth="1"/>
    <col min="2" max="2" width="74" style="4" customWidth="1"/>
    <col min="3" max="5" width="21.42578125" style="4" customWidth="1"/>
    <col min="6" max="6" width="19.5703125" style="237" customWidth="1"/>
    <col min="7" max="7" width="2.42578125" style="4" customWidth="1"/>
    <col min="8" max="9" width="5.140625" style="4" customWidth="1"/>
    <col min="10" max="256" width="11.42578125" style="4"/>
    <col min="257" max="257" width="15" style="4" customWidth="1"/>
    <col min="258" max="258" width="74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15" style="4" customWidth="1"/>
    <col min="514" max="514" width="74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15" style="4" customWidth="1"/>
    <col min="770" max="770" width="74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15" style="4" customWidth="1"/>
    <col min="1026" max="1026" width="74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15" style="4" customWidth="1"/>
    <col min="1282" max="1282" width="74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15" style="4" customWidth="1"/>
    <col min="1538" max="1538" width="74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15" style="4" customWidth="1"/>
    <col min="1794" max="1794" width="74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15" style="4" customWidth="1"/>
    <col min="2050" max="2050" width="74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15" style="4" customWidth="1"/>
    <col min="2306" max="2306" width="74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15" style="4" customWidth="1"/>
    <col min="2562" max="2562" width="74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15" style="4" customWidth="1"/>
    <col min="2818" max="2818" width="74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15" style="4" customWidth="1"/>
    <col min="3074" max="3074" width="74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15" style="4" customWidth="1"/>
    <col min="3330" max="3330" width="74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15" style="4" customWidth="1"/>
    <col min="3586" max="3586" width="74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15" style="4" customWidth="1"/>
    <col min="3842" max="3842" width="74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15" style="4" customWidth="1"/>
    <col min="4098" max="4098" width="74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15" style="4" customWidth="1"/>
    <col min="4354" max="4354" width="74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15" style="4" customWidth="1"/>
    <col min="4610" max="4610" width="74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15" style="4" customWidth="1"/>
    <col min="4866" max="4866" width="74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15" style="4" customWidth="1"/>
    <col min="5122" max="5122" width="74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15" style="4" customWidth="1"/>
    <col min="5378" max="5378" width="74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15" style="4" customWidth="1"/>
    <col min="5634" max="5634" width="74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15" style="4" customWidth="1"/>
    <col min="5890" max="5890" width="74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15" style="4" customWidth="1"/>
    <col min="6146" max="6146" width="74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15" style="4" customWidth="1"/>
    <col min="6402" max="6402" width="74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15" style="4" customWidth="1"/>
    <col min="6658" max="6658" width="74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15" style="4" customWidth="1"/>
    <col min="6914" max="6914" width="74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15" style="4" customWidth="1"/>
    <col min="7170" max="7170" width="74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15" style="4" customWidth="1"/>
    <col min="7426" max="7426" width="74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15" style="4" customWidth="1"/>
    <col min="7682" max="7682" width="74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15" style="4" customWidth="1"/>
    <col min="7938" max="7938" width="74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15" style="4" customWidth="1"/>
    <col min="8194" max="8194" width="74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15" style="4" customWidth="1"/>
    <col min="8450" max="8450" width="74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15" style="4" customWidth="1"/>
    <col min="8706" max="8706" width="74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15" style="4" customWidth="1"/>
    <col min="8962" max="8962" width="74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15" style="4" customWidth="1"/>
    <col min="9218" max="9218" width="74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15" style="4" customWidth="1"/>
    <col min="9474" max="9474" width="74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15" style="4" customWidth="1"/>
    <col min="9730" max="9730" width="74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15" style="4" customWidth="1"/>
    <col min="9986" max="9986" width="74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15" style="4" customWidth="1"/>
    <col min="10242" max="10242" width="74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15" style="4" customWidth="1"/>
    <col min="10498" max="10498" width="74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15" style="4" customWidth="1"/>
    <col min="10754" max="10754" width="74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15" style="4" customWidth="1"/>
    <col min="11010" max="11010" width="74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15" style="4" customWidth="1"/>
    <col min="11266" max="11266" width="74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15" style="4" customWidth="1"/>
    <col min="11522" max="11522" width="74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15" style="4" customWidth="1"/>
    <col min="11778" max="11778" width="74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15" style="4" customWidth="1"/>
    <col min="12034" max="12034" width="74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15" style="4" customWidth="1"/>
    <col min="12290" max="12290" width="74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15" style="4" customWidth="1"/>
    <col min="12546" max="12546" width="74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15" style="4" customWidth="1"/>
    <col min="12802" max="12802" width="74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15" style="4" customWidth="1"/>
    <col min="13058" max="13058" width="74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15" style="4" customWidth="1"/>
    <col min="13314" max="13314" width="74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15" style="4" customWidth="1"/>
    <col min="13570" max="13570" width="74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15" style="4" customWidth="1"/>
    <col min="13826" max="13826" width="74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15" style="4" customWidth="1"/>
    <col min="14082" max="14082" width="74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15" style="4" customWidth="1"/>
    <col min="14338" max="14338" width="74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15" style="4" customWidth="1"/>
    <col min="14594" max="14594" width="74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15" style="4" customWidth="1"/>
    <col min="14850" max="14850" width="74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15" style="4" customWidth="1"/>
    <col min="15106" max="15106" width="74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15" style="4" customWidth="1"/>
    <col min="15362" max="15362" width="74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15" style="4" customWidth="1"/>
    <col min="15618" max="15618" width="74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15" style="4" customWidth="1"/>
    <col min="15874" max="15874" width="74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15" style="4" customWidth="1"/>
    <col min="16130" max="16130" width="74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271" t="s">
        <v>1</v>
      </c>
      <c r="D1" s="272"/>
      <c r="E1" s="273"/>
      <c r="F1" s="3"/>
    </row>
    <row r="2" spans="1:7" ht="12.75" x14ac:dyDescent="0.2">
      <c r="A2" s="1" t="str">
        <f>CONCATENATE("COMUNA: ",[2]NOMBRE!B2," - ","( ",[2]NOMBRE!C2,[2]NOMBRE!D2,[2]NOMBRE!E2,[2]NOMBRE!F2,[2]NOMBRE!G2," )")</f>
        <v>COMUNA: LINARES  - ( 07701 )</v>
      </c>
      <c r="B2" s="2"/>
      <c r="C2" s="268"/>
      <c r="D2" s="269"/>
      <c r="E2" s="270"/>
      <c r="F2" s="5"/>
      <c r="G2" s="6"/>
    </row>
    <row r="3" spans="1:7" ht="12.75" x14ac:dyDescent="0.2">
      <c r="A3" s="1" t="str">
        <f>CONCATENATE("ESTABLECIMIENTO: ",[2]NOMBRE!B3," - ","( ",[2]NOMBRE!C3,[2]NOMBRE!D3,[2]NOMBRE!E3,[2]NOMBRE!F3,[2]NOMBRE!G3," )")</f>
        <v>ESTABLECIMIENTO: HOSPITAL LINARES  - ( 16108 )</v>
      </c>
      <c r="B3" s="2"/>
      <c r="C3" s="271" t="s">
        <v>2</v>
      </c>
      <c r="D3" s="272"/>
      <c r="E3" s="273"/>
      <c r="F3" s="5"/>
      <c r="G3" s="7"/>
    </row>
    <row r="4" spans="1:7" ht="12.75" x14ac:dyDescent="0.2">
      <c r="A4" s="1" t="str">
        <f>CONCATENATE("MES: ",[2]NOMBRE!B6," - ","( ",[2]NOMBRE!C6,[2]NOMBRE!D6," )")</f>
        <v>MES: FEBRERO - ( 02 )</v>
      </c>
      <c r="B4" s="2"/>
      <c r="C4" s="268" t="str">
        <f>CONCATENATE([2]NOMBRE!B6," ","( ",[2]NOMBRE!C6,[2]NOMBRE!D6," )")</f>
        <v>FEBRERO ( 02 )</v>
      </c>
      <c r="D4" s="269"/>
      <c r="E4" s="270"/>
      <c r="F4" s="5"/>
      <c r="G4" s="7"/>
    </row>
    <row r="5" spans="1:7" ht="12.75" x14ac:dyDescent="0.2">
      <c r="A5" s="1" t="str">
        <f>CONCATENATE("AÑO: ",[2]NOMBRE!B7)</f>
        <v>AÑO: 2011</v>
      </c>
      <c r="B5" s="2"/>
      <c r="C5" s="271" t="s">
        <v>3</v>
      </c>
      <c r="D5" s="272"/>
      <c r="E5" s="273"/>
      <c r="F5" s="5"/>
      <c r="G5" s="7"/>
    </row>
    <row r="6" spans="1:7" ht="12.75" x14ac:dyDescent="0.2">
      <c r="A6" s="8"/>
      <c r="B6" s="8"/>
      <c r="C6" s="268">
        <f>[2]NOMBRE!B7</f>
        <v>2011</v>
      </c>
      <c r="D6" s="269"/>
      <c r="E6" s="270"/>
      <c r="F6" s="5"/>
      <c r="G6" s="7"/>
    </row>
    <row r="7" spans="1:7" ht="12.75" x14ac:dyDescent="0.2">
      <c r="A7" s="263" t="s">
        <v>4</v>
      </c>
      <c r="B7" s="264"/>
      <c r="C7" s="265" t="s">
        <v>5</v>
      </c>
      <c r="D7" s="266"/>
      <c r="E7" s="267"/>
      <c r="F7" s="5"/>
      <c r="G7" s="7"/>
    </row>
    <row r="8" spans="1:7" ht="12.75" x14ac:dyDescent="0.2">
      <c r="A8" s="8"/>
      <c r="B8" s="9" t="s">
        <v>6</v>
      </c>
      <c r="C8" s="268" t="str">
        <f>CONCATENATE([2]NOMBRE!B3," ","( ",[2]NOMBRE!C3,[2]NOMBRE!D3,[2]NOMBRE!E3,[2]NOMBRE!F3,[2]NOMBRE!G3," )")</f>
        <v>HOSPITAL LINARES  ( 16108 )</v>
      </c>
      <c r="D8" s="269"/>
      <c r="E8" s="270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256" t="s">
        <v>7</v>
      </c>
      <c r="B11" s="252"/>
      <c r="C11" s="252"/>
      <c r="D11" s="252"/>
      <c r="E11" s="253"/>
      <c r="F11" s="5"/>
    </row>
    <row r="12" spans="1:7" ht="43.5" customHeight="1" x14ac:dyDescent="0.2">
      <c r="A12" s="11" t="s">
        <v>8</v>
      </c>
      <c r="B12" s="11" t="s">
        <v>9</v>
      </c>
      <c r="C12" s="12" t="s">
        <v>10</v>
      </c>
      <c r="D12" s="13" t="s">
        <v>11</v>
      </c>
      <c r="E12" s="14" t="s">
        <v>12</v>
      </c>
      <c r="F12" s="8"/>
    </row>
    <row r="13" spans="1:7" ht="12.75" customHeight="1" x14ac:dyDescent="0.2">
      <c r="A13" s="242" t="s">
        <v>13</v>
      </c>
      <c r="B13" s="243"/>
      <c r="C13" s="243"/>
      <c r="D13" s="243"/>
      <c r="E13" s="244"/>
      <c r="F13" s="8"/>
    </row>
    <row r="14" spans="1:7" ht="15" customHeight="1" x14ac:dyDescent="0.2">
      <c r="A14" s="17" t="s">
        <v>14</v>
      </c>
      <c r="B14" s="18" t="s">
        <v>15</v>
      </c>
      <c r="C14" s="19">
        <f>[2]BS17A!$D13</f>
        <v>0</v>
      </c>
      <c r="D14" s="20">
        <f>[2]BS17A!$U13</f>
        <v>3710</v>
      </c>
      <c r="E14" s="21">
        <f>[2]BS17A!$V13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24">
        <f>[2]BS17A!$D14</f>
        <v>0</v>
      </c>
      <c r="D15" s="25">
        <f>[2]BS17A!$U14</f>
        <v>4670</v>
      </c>
      <c r="E15" s="26">
        <f>[2]BS17A!$V14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24">
        <f>[2]BS17A!$D15</f>
        <v>8072</v>
      </c>
      <c r="D16" s="25">
        <f>[2]BS17A!$U15</f>
        <v>9990</v>
      </c>
      <c r="E16" s="26">
        <f>[2]BS17A!$V15</f>
        <v>80639280</v>
      </c>
      <c r="F16" s="8"/>
    </row>
    <row r="17" spans="1:6" ht="15" customHeight="1" x14ac:dyDescent="0.2">
      <c r="A17" s="22" t="s">
        <v>20</v>
      </c>
      <c r="B17" s="23" t="s">
        <v>21</v>
      </c>
      <c r="C17" s="24">
        <f>[2]BS17A!$D16</f>
        <v>0</v>
      </c>
      <c r="D17" s="25">
        <f>[2]BS17A!$U16</f>
        <v>5970</v>
      </c>
      <c r="E17" s="26">
        <f>[2]BS17A!$V16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24">
        <f>[2]BS17A!$D17</f>
        <v>0</v>
      </c>
      <c r="D18" s="25">
        <f>[2]BS17A!$U17</f>
        <v>6550</v>
      </c>
      <c r="E18" s="26">
        <f>[2]BS17A!$V17</f>
        <v>0</v>
      </c>
      <c r="F18" s="8"/>
    </row>
    <row r="19" spans="1:6" ht="33" customHeight="1" x14ac:dyDescent="0.2">
      <c r="A19" s="22" t="s">
        <v>24</v>
      </c>
      <c r="B19" s="27" t="s">
        <v>25</v>
      </c>
      <c r="C19" s="24">
        <f>[2]BS17A!$D20</f>
        <v>0</v>
      </c>
      <c r="D19" s="25">
        <f>[2]BS17A!$U20</f>
        <v>5040</v>
      </c>
      <c r="E19" s="26">
        <f>[2]BS17A!$V20</f>
        <v>0</v>
      </c>
      <c r="F19" s="8"/>
    </row>
    <row r="20" spans="1:6" ht="42.75" customHeight="1" x14ac:dyDescent="0.2">
      <c r="A20" s="22" t="s">
        <v>26</v>
      </c>
      <c r="B20" s="27" t="s">
        <v>27</v>
      </c>
      <c r="C20" s="24">
        <f>[2]BS17A!$D21</f>
        <v>0</v>
      </c>
      <c r="D20" s="25">
        <f>[2]BS17A!$U21</f>
        <v>6050</v>
      </c>
      <c r="E20" s="26">
        <f>[2]BS17A!$V21</f>
        <v>0</v>
      </c>
      <c r="F20" s="8"/>
    </row>
    <row r="21" spans="1:6" ht="42.75" customHeight="1" x14ac:dyDescent="0.2">
      <c r="A21" s="22" t="s">
        <v>28</v>
      </c>
      <c r="B21" s="27" t="s">
        <v>29</v>
      </c>
      <c r="C21" s="24">
        <f>[2]BS17A!$D22</f>
        <v>0</v>
      </c>
      <c r="D21" s="25">
        <f>[2]BS17A!$U22</f>
        <v>7510</v>
      </c>
      <c r="E21" s="26">
        <f>[2]BS17A!$V22</f>
        <v>0</v>
      </c>
      <c r="F21" s="8"/>
    </row>
    <row r="22" spans="1:6" ht="32.25" customHeight="1" x14ac:dyDescent="0.2">
      <c r="A22" s="22" t="s">
        <v>30</v>
      </c>
      <c r="B22" s="27" t="s">
        <v>31</v>
      </c>
      <c r="C22" s="24">
        <f>[2]BS17A!$D23</f>
        <v>1037</v>
      </c>
      <c r="D22" s="25">
        <f>[2]BS17A!$U23</f>
        <v>5040</v>
      </c>
      <c r="E22" s="26">
        <f>[2]BS17A!$V23</f>
        <v>5226480</v>
      </c>
      <c r="F22" s="8"/>
    </row>
    <row r="23" spans="1:6" ht="40.5" customHeight="1" x14ac:dyDescent="0.2">
      <c r="A23" s="22" t="s">
        <v>32</v>
      </c>
      <c r="B23" s="27" t="s">
        <v>33</v>
      </c>
      <c r="C23" s="24">
        <f>[2]BS17A!$D24</f>
        <v>544</v>
      </c>
      <c r="D23" s="25">
        <f>[2]BS17A!$U24</f>
        <v>6050</v>
      </c>
      <c r="E23" s="26">
        <f>[2]BS17A!$V24</f>
        <v>3291200</v>
      </c>
      <c r="F23" s="8"/>
    </row>
    <row r="24" spans="1:6" ht="27" customHeight="1" x14ac:dyDescent="0.2">
      <c r="A24" s="22" t="s">
        <v>34</v>
      </c>
      <c r="B24" s="27" t="s">
        <v>35</v>
      </c>
      <c r="C24" s="24">
        <f>[2]BS17A!$D25</f>
        <v>1559</v>
      </c>
      <c r="D24" s="25">
        <f>[2]BS17A!$U25</f>
        <v>7510</v>
      </c>
      <c r="E24" s="26">
        <f>[2]BS17A!$V25</f>
        <v>11708090</v>
      </c>
      <c r="F24" s="8"/>
    </row>
    <row r="25" spans="1:6" ht="15" customHeight="1" x14ac:dyDescent="0.2">
      <c r="A25" s="22" t="s">
        <v>36</v>
      </c>
      <c r="B25" s="28" t="s">
        <v>37</v>
      </c>
      <c r="C25" s="24">
        <f>+[2]BS17A!$D791</f>
        <v>77</v>
      </c>
      <c r="D25" s="25">
        <f>+[2]BS17A!$U791</f>
        <v>6130</v>
      </c>
      <c r="E25" s="26">
        <f>+[2]BS17A!$V791</f>
        <v>472010</v>
      </c>
      <c r="F25" s="8"/>
    </row>
    <row r="26" spans="1:6" ht="15" customHeight="1" x14ac:dyDescent="0.2">
      <c r="A26" s="29" t="s">
        <v>38</v>
      </c>
      <c r="B26" s="30" t="s">
        <v>39</v>
      </c>
      <c r="C26" s="31">
        <f>+[2]BS17A!$D796</f>
        <v>0</v>
      </c>
      <c r="D26" s="32">
        <f>+[2]BS17A!$U796</f>
        <v>25400</v>
      </c>
      <c r="E26" s="33">
        <f>+[2]BS17A!$V796</f>
        <v>0</v>
      </c>
      <c r="F26" s="8"/>
    </row>
    <row r="27" spans="1:6" ht="18" customHeight="1" x14ac:dyDescent="0.2">
      <c r="A27" s="242" t="s">
        <v>40</v>
      </c>
      <c r="B27" s="243"/>
      <c r="C27" s="243"/>
      <c r="D27" s="243"/>
      <c r="E27" s="244"/>
      <c r="F27" s="8"/>
    </row>
    <row r="28" spans="1:6" ht="15" customHeight="1" x14ac:dyDescent="0.2">
      <c r="A28" s="17" t="s">
        <v>41</v>
      </c>
      <c r="B28" s="18" t="s">
        <v>42</v>
      </c>
      <c r="C28" s="19">
        <f>[2]BS17A!$D27</f>
        <v>1060</v>
      </c>
      <c r="D28" s="20">
        <f>[2]BS17A!$U27</f>
        <v>990</v>
      </c>
      <c r="E28" s="21">
        <f>[2]BS17A!$V27</f>
        <v>1049400</v>
      </c>
      <c r="F28" s="8"/>
    </row>
    <row r="29" spans="1:6" ht="15" customHeight="1" x14ac:dyDescent="0.2">
      <c r="A29" s="22" t="s">
        <v>43</v>
      </c>
      <c r="B29" s="34" t="s">
        <v>44</v>
      </c>
      <c r="C29" s="24">
        <f>[2]BS17A!$D28</f>
        <v>0</v>
      </c>
      <c r="D29" s="25">
        <f>[2]BS17A!$U28</f>
        <v>1680</v>
      </c>
      <c r="E29" s="26">
        <f>[2]BS17A!$V28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24">
        <f>[2]BS17A!$D29</f>
        <v>0</v>
      </c>
      <c r="D30" s="25">
        <f>[2]BS17A!$U29</f>
        <v>530</v>
      </c>
      <c r="E30" s="26">
        <f>[2]BS17A!$V29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24">
        <f>[2]BS17A!$D30</f>
        <v>22</v>
      </c>
      <c r="D31" s="25">
        <f>[2]BS17A!$U30</f>
        <v>1340</v>
      </c>
      <c r="E31" s="26">
        <f>[2]BS17A!$V30</f>
        <v>29480</v>
      </c>
      <c r="F31" s="8"/>
    </row>
    <row r="32" spans="1:6" ht="15" customHeight="1" x14ac:dyDescent="0.2">
      <c r="A32" s="22" t="s">
        <v>49</v>
      </c>
      <c r="B32" s="23" t="s">
        <v>50</v>
      </c>
      <c r="C32" s="24">
        <f>[2]BS17A!$D31</f>
        <v>934</v>
      </c>
      <c r="D32" s="25">
        <f>[2]BS17A!$U31</f>
        <v>1070</v>
      </c>
      <c r="E32" s="26">
        <f>[2]BS17A!$V31</f>
        <v>999380</v>
      </c>
      <c r="F32" s="8"/>
    </row>
    <row r="33" spans="1:6" ht="15" customHeight="1" x14ac:dyDescent="0.2">
      <c r="A33" s="22" t="s">
        <v>51</v>
      </c>
      <c r="B33" s="34" t="s">
        <v>52</v>
      </c>
      <c r="C33" s="24">
        <f>[2]BS17A!$D32</f>
        <v>0</v>
      </c>
      <c r="D33" s="25">
        <f>[2]BS17A!$U32</f>
        <v>990</v>
      </c>
      <c r="E33" s="26">
        <f>[2]BS17A!$V32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24">
        <f>+[2]BS17A!$D792</f>
        <v>0</v>
      </c>
      <c r="D34" s="25">
        <f>+[2]BS17A!$U792</f>
        <v>2400</v>
      </c>
      <c r="E34" s="26">
        <f>+[2]BS17A!$V792</f>
        <v>0</v>
      </c>
      <c r="F34" s="8"/>
    </row>
    <row r="35" spans="1:6" ht="15" customHeight="1" x14ac:dyDescent="0.2">
      <c r="A35" s="22" t="s">
        <v>55</v>
      </c>
      <c r="B35" s="34" t="s">
        <v>56</v>
      </c>
      <c r="C35" s="24">
        <f>+[2]BS17A!$D793</f>
        <v>590</v>
      </c>
      <c r="D35" s="25">
        <f>+[2]BS17A!$U793</f>
        <v>2400</v>
      </c>
      <c r="E35" s="26">
        <f>+[2]BS17A!$V793</f>
        <v>1416000</v>
      </c>
      <c r="F35" s="8"/>
    </row>
    <row r="36" spans="1:6" ht="15" customHeight="1" x14ac:dyDescent="0.2">
      <c r="A36" s="22" t="s">
        <v>57</v>
      </c>
      <c r="B36" s="34" t="s">
        <v>58</v>
      </c>
      <c r="C36" s="24">
        <f>+[2]BS17A!$D794</f>
        <v>1</v>
      </c>
      <c r="D36" s="25">
        <f>+[2]BS17A!$U794</f>
        <v>9560</v>
      </c>
      <c r="E36" s="26">
        <f>+[2]BS17A!$V794</f>
        <v>9560</v>
      </c>
      <c r="F36" s="8"/>
    </row>
    <row r="37" spans="1:6" ht="15" customHeight="1" x14ac:dyDescent="0.2">
      <c r="A37" s="29" t="s">
        <v>59</v>
      </c>
      <c r="B37" s="35" t="s">
        <v>60</v>
      </c>
      <c r="C37" s="31">
        <f>+[2]BS17A!$D795</f>
        <v>4</v>
      </c>
      <c r="D37" s="32">
        <f>+[2]BS17A!$U795</f>
        <v>11200</v>
      </c>
      <c r="E37" s="33">
        <f>+[2]BS17A!$V795</f>
        <v>44800</v>
      </c>
      <c r="F37" s="8"/>
    </row>
    <row r="38" spans="1:6" ht="18" customHeight="1" x14ac:dyDescent="0.2">
      <c r="A38" s="251" t="s">
        <v>61</v>
      </c>
      <c r="B38" s="254"/>
      <c r="C38" s="254"/>
      <c r="D38" s="254"/>
      <c r="E38" s="255"/>
      <c r="F38" s="8"/>
    </row>
    <row r="39" spans="1:6" ht="15" customHeight="1" x14ac:dyDescent="0.2">
      <c r="A39" s="17" t="s">
        <v>62</v>
      </c>
      <c r="B39" s="36" t="s">
        <v>63</v>
      </c>
      <c r="C39" s="19">
        <f>+[2]BS17A!$D797</f>
        <v>0</v>
      </c>
      <c r="D39" s="37">
        <f>+[2]BS17A!$U797</f>
        <v>2790</v>
      </c>
      <c r="E39" s="38">
        <f>+[2]BS17A!$V797</f>
        <v>0</v>
      </c>
      <c r="F39" s="8"/>
    </row>
    <row r="40" spans="1:6" ht="15" customHeight="1" x14ac:dyDescent="0.2">
      <c r="A40" s="29" t="s">
        <v>64</v>
      </c>
      <c r="B40" s="39" t="s">
        <v>65</v>
      </c>
      <c r="C40" s="31">
        <f>+[2]BS17A!$D798</f>
        <v>0</v>
      </c>
      <c r="D40" s="40">
        <f>+[2]BS17A!$U798</f>
        <v>6550</v>
      </c>
      <c r="E40" s="41">
        <f>+[2]BS17A!$V798</f>
        <v>0</v>
      </c>
      <c r="F40" s="8"/>
    </row>
    <row r="41" spans="1:6" ht="18" customHeight="1" x14ac:dyDescent="0.2">
      <c r="A41" s="251" t="s">
        <v>66</v>
      </c>
      <c r="B41" s="254"/>
      <c r="C41" s="254"/>
      <c r="D41" s="254"/>
      <c r="E41" s="255"/>
      <c r="F41" s="8"/>
    </row>
    <row r="42" spans="1:6" ht="15" customHeight="1" x14ac:dyDescent="0.2">
      <c r="A42" s="17" t="s">
        <v>67</v>
      </c>
      <c r="B42" s="42" t="s">
        <v>68</v>
      </c>
      <c r="C42" s="19">
        <f>+[2]BS17A!$D34</f>
        <v>0</v>
      </c>
      <c r="D42" s="37">
        <f>+[2]BS17A!$U34</f>
        <v>3230</v>
      </c>
      <c r="E42" s="38">
        <f>+[2]BS17A!$V34</f>
        <v>0</v>
      </c>
      <c r="F42" s="8"/>
    </row>
    <row r="43" spans="1:6" ht="15" customHeight="1" x14ac:dyDescent="0.2">
      <c r="A43" s="22" t="s">
        <v>69</v>
      </c>
      <c r="B43" s="23" t="s">
        <v>70</v>
      </c>
      <c r="C43" s="24">
        <f>+[2]BS17A!$D35</f>
        <v>207</v>
      </c>
      <c r="D43" s="25">
        <f>+[2]BS17A!$U35</f>
        <v>1780</v>
      </c>
      <c r="E43" s="26">
        <f>+[2]BS17A!$V35</f>
        <v>368460</v>
      </c>
      <c r="F43" s="8"/>
    </row>
    <row r="44" spans="1:6" ht="15" customHeight="1" x14ac:dyDescent="0.2">
      <c r="A44" s="22" t="s">
        <v>71</v>
      </c>
      <c r="B44" s="23" t="s">
        <v>72</v>
      </c>
      <c r="C44" s="24">
        <f>+[2]BS17A!$D36</f>
        <v>1</v>
      </c>
      <c r="D44" s="25">
        <f>+[2]BS17A!$U36</f>
        <v>1780</v>
      </c>
      <c r="E44" s="26">
        <f>+[2]BS17A!$V36</f>
        <v>1780</v>
      </c>
      <c r="F44" s="8"/>
    </row>
    <row r="45" spans="1:6" ht="15" customHeight="1" x14ac:dyDescent="0.2">
      <c r="A45" s="29" t="s">
        <v>73</v>
      </c>
      <c r="B45" s="43" t="s">
        <v>74</v>
      </c>
      <c r="C45" s="31">
        <f>+[2]BS17A!$D37</f>
        <v>114</v>
      </c>
      <c r="D45" s="40">
        <f>+[2]BS17A!$U37</f>
        <v>530</v>
      </c>
      <c r="E45" s="41">
        <f>+[2]BS17A!$V37</f>
        <v>60420</v>
      </c>
      <c r="F45" s="8"/>
    </row>
    <row r="46" spans="1:6" ht="18" customHeight="1" x14ac:dyDescent="0.2">
      <c r="A46" s="251" t="s">
        <v>75</v>
      </c>
      <c r="B46" s="254"/>
      <c r="C46" s="254"/>
      <c r="D46" s="254"/>
      <c r="E46" s="255"/>
      <c r="F46" s="8"/>
    </row>
    <row r="47" spans="1:6" ht="15" customHeight="1" x14ac:dyDescent="0.2">
      <c r="A47" s="17" t="s">
        <v>76</v>
      </c>
      <c r="B47" s="42" t="s">
        <v>77</v>
      </c>
      <c r="C47" s="19">
        <f>+[2]BS17A!$D39</f>
        <v>20</v>
      </c>
      <c r="D47" s="37">
        <f>+[2]BS17A!$U39</f>
        <v>1540</v>
      </c>
      <c r="E47" s="38">
        <f>+[2]BS17A!$V39</f>
        <v>30800</v>
      </c>
      <c r="F47" s="8"/>
    </row>
    <row r="48" spans="1:6" ht="15" customHeight="1" x14ac:dyDescent="0.2">
      <c r="A48" s="22" t="s">
        <v>78</v>
      </c>
      <c r="B48" s="23" t="s">
        <v>79</v>
      </c>
      <c r="C48" s="24">
        <f>+[2]BS17A!$D40</f>
        <v>6</v>
      </c>
      <c r="D48" s="25">
        <f>+[2]BS17A!$U40</f>
        <v>1540</v>
      </c>
      <c r="E48" s="26">
        <f>+[2]BS17A!$V40</f>
        <v>9240</v>
      </c>
      <c r="F48" s="8"/>
    </row>
    <row r="49" spans="1:7" ht="15" customHeight="1" x14ac:dyDescent="0.2">
      <c r="A49" s="29" t="s">
        <v>80</v>
      </c>
      <c r="B49" s="43" t="s">
        <v>81</v>
      </c>
      <c r="C49" s="31">
        <f>+[2]BS17A!$D41</f>
        <v>0</v>
      </c>
      <c r="D49" s="40">
        <f>+[2]BS17A!$U41</f>
        <v>880</v>
      </c>
      <c r="E49" s="41">
        <f>+[2]BS17A!$V41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14248</v>
      </c>
      <c r="D50" s="46"/>
      <c r="E50" s="47">
        <f>SUM(E14:E49)</f>
        <v>105356380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251" t="s">
        <v>83</v>
      </c>
      <c r="B53" s="254"/>
      <c r="C53" s="254"/>
      <c r="D53" s="254"/>
      <c r="E53" s="255"/>
      <c r="F53" s="51"/>
      <c r="G53" s="52"/>
    </row>
    <row r="54" spans="1:7" ht="38.25" x14ac:dyDescent="0.2">
      <c r="A54" s="11" t="s">
        <v>8</v>
      </c>
      <c r="B54" s="11" t="s">
        <v>84</v>
      </c>
      <c r="C54" s="12" t="s">
        <v>10</v>
      </c>
      <c r="D54" s="53"/>
      <c r="E54" s="14" t="s">
        <v>12</v>
      </c>
      <c r="F54" s="8"/>
    </row>
    <row r="55" spans="1:7" ht="18" customHeight="1" x14ac:dyDescent="0.2">
      <c r="A55" s="54" t="s">
        <v>85</v>
      </c>
      <c r="B55" s="55" t="s">
        <v>86</v>
      </c>
      <c r="C55" s="56">
        <f>+[2]BS17!$D12</f>
        <v>38982</v>
      </c>
      <c r="D55" s="57"/>
      <c r="E55" s="58">
        <f>+E56+E57+E58+E59+E60+E61+E65+E66+E67</f>
        <v>48769440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+[2]BS17!$D13</f>
        <v>15041</v>
      </c>
      <c r="D56" s="61"/>
      <c r="E56" s="62">
        <f>+[2]BS17A!V83</f>
        <v>14240400</v>
      </c>
      <c r="F56" s="8"/>
    </row>
    <row r="57" spans="1:7" ht="15" customHeight="1" x14ac:dyDescent="0.2">
      <c r="A57" s="22" t="s">
        <v>89</v>
      </c>
      <c r="B57" s="28" t="s">
        <v>90</v>
      </c>
      <c r="C57" s="24">
        <f>+[2]BS17!$D14</f>
        <v>16317</v>
      </c>
      <c r="D57" s="63"/>
      <c r="E57" s="64">
        <f>+[2]BS17A!V174</f>
        <v>16780180</v>
      </c>
      <c r="F57" s="8"/>
    </row>
    <row r="58" spans="1:7" ht="15" customHeight="1" x14ac:dyDescent="0.2">
      <c r="A58" s="22" t="s">
        <v>91</v>
      </c>
      <c r="B58" s="28" t="s">
        <v>92</v>
      </c>
      <c r="C58" s="24">
        <f>+[2]BS17!$D15</f>
        <v>945</v>
      </c>
      <c r="D58" s="63"/>
      <c r="E58" s="64">
        <f>+[2]BS17A!V243</f>
        <v>2920560</v>
      </c>
      <c r="F58" s="8"/>
    </row>
    <row r="59" spans="1:7" ht="15" customHeight="1" x14ac:dyDescent="0.2">
      <c r="A59" s="22" t="s">
        <v>93</v>
      </c>
      <c r="B59" s="28" t="s">
        <v>94</v>
      </c>
      <c r="C59" s="24">
        <f>+[2]BS17!$D16</f>
        <v>0</v>
      </c>
      <c r="D59" s="63"/>
      <c r="E59" s="64">
        <f>+[2]BS17A!V289</f>
        <v>0</v>
      </c>
      <c r="F59" s="8"/>
    </row>
    <row r="60" spans="1:7" ht="15" customHeight="1" x14ac:dyDescent="0.2">
      <c r="A60" s="65" t="s">
        <v>95</v>
      </c>
      <c r="B60" s="30" t="s">
        <v>96</v>
      </c>
      <c r="C60" s="66">
        <f>+[2]BS17!$D17</f>
        <v>1227</v>
      </c>
      <c r="D60" s="67"/>
      <c r="E60" s="68">
        <f>+[2]BS17A!V295</f>
        <v>5012540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+[2]BS17!$D18</f>
        <v>3553</v>
      </c>
      <c r="D61" s="71"/>
      <c r="E61" s="72">
        <f>SUM(E62:E64)</f>
        <v>7832200</v>
      </c>
      <c r="F61" s="8"/>
    </row>
    <row r="62" spans="1:7" ht="15" customHeight="1" x14ac:dyDescent="0.2">
      <c r="A62" s="73"/>
      <c r="B62" s="42" t="s">
        <v>99</v>
      </c>
      <c r="C62" s="19">
        <f>+[2]BS17!$D19</f>
        <v>3076</v>
      </c>
      <c r="D62" s="74"/>
      <c r="E62" s="75">
        <f>+[2]BS17A!V362</f>
        <v>6203120</v>
      </c>
      <c r="F62" s="8"/>
    </row>
    <row r="63" spans="1:7" ht="15" customHeight="1" x14ac:dyDescent="0.2">
      <c r="A63" s="73"/>
      <c r="B63" s="28" t="s">
        <v>100</v>
      </c>
      <c r="C63" s="24">
        <f>+[2]BS17!$D20</f>
        <v>88</v>
      </c>
      <c r="D63" s="63"/>
      <c r="E63" s="64">
        <f>+[2]BS17A!V405</f>
        <v>202690</v>
      </c>
      <c r="F63" s="8"/>
    </row>
    <row r="64" spans="1:7" ht="15" customHeight="1" x14ac:dyDescent="0.2">
      <c r="A64" s="76"/>
      <c r="B64" s="43" t="s">
        <v>101</v>
      </c>
      <c r="C64" s="31">
        <f>+[2]BS17!$D21</f>
        <v>389</v>
      </c>
      <c r="D64" s="77"/>
      <c r="E64" s="78">
        <f>+[2]BS17A!V428</f>
        <v>1426390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+[2]BS17!$D22</f>
        <v>0</v>
      </c>
      <c r="D65" s="61"/>
      <c r="E65" s="62">
        <f>+[2]BS17A!V446</f>
        <v>0</v>
      </c>
      <c r="F65" s="8"/>
    </row>
    <row r="66" spans="1:7" ht="15" customHeight="1" x14ac:dyDescent="0.2">
      <c r="A66" s="22" t="s">
        <v>104</v>
      </c>
      <c r="B66" s="28" t="s">
        <v>105</v>
      </c>
      <c r="C66" s="24">
        <f>+[2]BS17!$D23</f>
        <v>37</v>
      </c>
      <c r="D66" s="63"/>
      <c r="E66" s="64">
        <f>+[2]BS17A!V456</f>
        <v>48980</v>
      </c>
      <c r="F66" s="8"/>
    </row>
    <row r="67" spans="1:7" ht="15" customHeight="1" x14ac:dyDescent="0.2">
      <c r="A67" s="65" t="s">
        <v>106</v>
      </c>
      <c r="B67" s="30" t="s">
        <v>107</v>
      </c>
      <c r="C67" s="66">
        <f>+[2]BS17!$D24</f>
        <v>1862</v>
      </c>
      <c r="D67" s="67"/>
      <c r="E67" s="68">
        <f>+[2]BS17A!V500</f>
        <v>1934580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+[2]BS17!$D25</f>
        <v>3173</v>
      </c>
      <c r="D68" s="83"/>
      <c r="E68" s="84">
        <f>SUM(E69:E74)</f>
        <v>43498270</v>
      </c>
      <c r="F68" s="8"/>
    </row>
    <row r="69" spans="1:7" ht="15" customHeight="1" x14ac:dyDescent="0.2">
      <c r="A69" s="22" t="s">
        <v>110</v>
      </c>
      <c r="B69" s="28" t="s">
        <v>111</v>
      </c>
      <c r="C69" s="24">
        <f>+[2]BS17!$D26</f>
        <v>1962</v>
      </c>
      <c r="D69" s="63"/>
      <c r="E69" s="64">
        <f>+[2]BS17A!V535</f>
        <v>13700130</v>
      </c>
      <c r="F69" s="8"/>
    </row>
    <row r="70" spans="1:7" ht="15" customHeight="1" x14ac:dyDescent="0.2">
      <c r="A70" s="22" t="s">
        <v>112</v>
      </c>
      <c r="B70" s="28" t="s">
        <v>113</v>
      </c>
      <c r="C70" s="24">
        <f>+[2]BS17!$D27</f>
        <v>0</v>
      </c>
      <c r="D70" s="63"/>
      <c r="E70" s="64">
        <f>+[2]BS17A!V590</f>
        <v>0</v>
      </c>
      <c r="F70" s="8"/>
    </row>
    <row r="71" spans="1:7" ht="15" customHeight="1" x14ac:dyDescent="0.2">
      <c r="A71" s="22" t="s">
        <v>114</v>
      </c>
      <c r="B71" s="28" t="s">
        <v>115</v>
      </c>
      <c r="C71" s="24">
        <f>+[2]BS17!$D28</f>
        <v>408</v>
      </c>
      <c r="D71" s="63"/>
      <c r="E71" s="64">
        <f>+[2]BS17A!V615</f>
        <v>19132840</v>
      </c>
      <c r="F71" s="8"/>
    </row>
    <row r="72" spans="1:7" ht="15" customHeight="1" x14ac:dyDescent="0.2">
      <c r="A72" s="22" t="s">
        <v>116</v>
      </c>
      <c r="B72" s="28" t="s">
        <v>117</v>
      </c>
      <c r="C72" s="24">
        <f>+[2]BS17!$D30+[2]BS17!$D32</f>
        <v>803</v>
      </c>
      <c r="D72" s="63"/>
      <c r="E72" s="64">
        <f>+[2]BS17A!V633-[2]BS17A!V634</f>
        <v>10665300</v>
      </c>
      <c r="F72" s="8"/>
    </row>
    <row r="73" spans="1:7" ht="15" customHeight="1" x14ac:dyDescent="0.2">
      <c r="A73" s="85"/>
      <c r="B73" s="28" t="s">
        <v>118</v>
      </c>
      <c r="C73" s="24">
        <f>+[2]BS17!$D31</f>
        <v>0</v>
      </c>
      <c r="D73" s="63"/>
      <c r="E73" s="64">
        <f>+[2]BS17A!V634</f>
        <v>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+[2]BS17!$D33</f>
        <v>0</v>
      </c>
      <c r="D74" s="89"/>
      <c r="E74" s="90">
        <f>+[2]BS17A!V654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+[2]BS17!$D34</f>
        <v>0</v>
      </c>
      <c r="D75" s="94"/>
      <c r="E75" s="95">
        <f>+[2]BS17A!V779</f>
        <v>0</v>
      </c>
      <c r="F75" s="8"/>
    </row>
    <row r="76" spans="1:7" ht="15" customHeight="1" x14ac:dyDescent="0.2">
      <c r="A76" s="96"/>
      <c r="B76" s="97" t="s">
        <v>123</v>
      </c>
      <c r="C76" s="56">
        <f>+C55+C68+C75</f>
        <v>42155</v>
      </c>
      <c r="D76" s="57"/>
      <c r="E76" s="98">
        <f>+E55+E68+E75</f>
        <v>92267710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256" t="s">
        <v>124</v>
      </c>
      <c r="B79" s="252"/>
      <c r="C79" s="252"/>
      <c r="D79" s="252"/>
      <c r="E79" s="253"/>
      <c r="F79" s="51"/>
      <c r="G79" s="52"/>
    </row>
    <row r="80" spans="1:7" ht="38.25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19">
        <f>+[2]BS17!D49</f>
        <v>0</v>
      </c>
      <c r="D81" s="61"/>
      <c r="E81" s="103">
        <f>+SUM([2]BS17A!V670+[2]BS17A!V697+[2]BS17A!V716+[2]BS17A!V723+[2]BS17A!V726+[2]BS17A!V743+[2]BS17A!V760)</f>
        <v>0</v>
      </c>
      <c r="F81" s="8"/>
    </row>
    <row r="82" spans="1:6" ht="15" customHeight="1" x14ac:dyDescent="0.2">
      <c r="A82" s="104">
        <v>2001</v>
      </c>
      <c r="B82" s="28" t="s">
        <v>127</v>
      </c>
      <c r="C82" s="24">
        <f>+[2]BS17!E120</f>
        <v>1687</v>
      </c>
      <c r="D82" s="63"/>
      <c r="E82" s="105">
        <f>+[2]BS17A!V1562</f>
        <v>11503480</v>
      </c>
      <c r="F82" s="8"/>
    </row>
    <row r="83" spans="1:6" ht="15" customHeight="1" x14ac:dyDescent="0.2">
      <c r="A83" s="65" t="s">
        <v>128</v>
      </c>
      <c r="B83" s="30" t="s">
        <v>129</v>
      </c>
      <c r="C83" s="66">
        <f>+[2]BS17A!D1837</f>
        <v>18</v>
      </c>
      <c r="D83" s="67"/>
      <c r="E83" s="106">
        <f>+[2]BS17A!V1837</f>
        <v>1337220</v>
      </c>
      <c r="F83" s="8"/>
    </row>
    <row r="84" spans="1:6" ht="17.25" customHeight="1" x14ac:dyDescent="0.2">
      <c r="A84" s="96"/>
      <c r="B84" s="97" t="s">
        <v>130</v>
      </c>
      <c r="C84" s="56">
        <f>+SUM(C81:C83)</f>
        <v>1705</v>
      </c>
      <c r="D84" s="57"/>
      <c r="E84" s="107">
        <f>SUM(E81:E83)</f>
        <v>12840700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239" t="s">
        <v>131</v>
      </c>
      <c r="B87" s="240"/>
      <c r="C87" s="240"/>
      <c r="D87" s="240"/>
      <c r="E87" s="240"/>
      <c r="F87" s="241"/>
    </row>
    <row r="88" spans="1:6" ht="33.75" customHeight="1" x14ac:dyDescent="0.15">
      <c r="A88" s="260" t="s">
        <v>8</v>
      </c>
      <c r="B88" s="260" t="s">
        <v>9</v>
      </c>
      <c r="C88" s="242" t="s">
        <v>10</v>
      </c>
      <c r="D88" s="243"/>
      <c r="E88" s="243"/>
      <c r="F88" s="244"/>
    </row>
    <row r="89" spans="1:6" ht="35.25" customHeight="1" x14ac:dyDescent="0.15">
      <c r="A89" s="261"/>
      <c r="B89" s="261"/>
      <c r="C89" s="99" t="s">
        <v>132</v>
      </c>
      <c r="D89" s="108" t="s">
        <v>133</v>
      </c>
      <c r="E89" s="13" t="s">
        <v>134</v>
      </c>
      <c r="F89" s="1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+[2]BS17!F66</f>
        <v>0</v>
      </c>
      <c r="D90" s="110">
        <f>+[2]BS17!G66</f>
        <v>0</v>
      </c>
      <c r="E90" s="111">
        <f>+[2]BS17!H66</f>
        <v>0</v>
      </c>
      <c r="F90" s="112">
        <f>[2]BS17A!V807</f>
        <v>0</v>
      </c>
    </row>
    <row r="91" spans="1:6" ht="15" customHeight="1" x14ac:dyDescent="0.2">
      <c r="A91" s="22" t="s">
        <v>137</v>
      </c>
      <c r="B91" s="28" t="s">
        <v>138</v>
      </c>
      <c r="C91" s="113">
        <f>+[2]BS17!F67</f>
        <v>74</v>
      </c>
      <c r="D91" s="114">
        <f>+[2]BS17!G67</f>
        <v>0</v>
      </c>
      <c r="E91" s="115">
        <f>+[2]BS17!H67</f>
        <v>0</v>
      </c>
      <c r="F91" s="116">
        <f>[2]BS17A!V878</f>
        <v>29804170</v>
      </c>
    </row>
    <row r="92" spans="1:6" ht="15" customHeight="1" x14ac:dyDescent="0.2">
      <c r="A92" s="22" t="s">
        <v>139</v>
      </c>
      <c r="B92" s="28" t="s">
        <v>140</v>
      </c>
      <c r="C92" s="113">
        <f>+[2]BS17!F68</f>
        <v>8</v>
      </c>
      <c r="D92" s="114">
        <f>+[2]BS17!G68</f>
        <v>2</v>
      </c>
      <c r="E92" s="115">
        <f>+[2]BS17!H68</f>
        <v>0</v>
      </c>
      <c r="F92" s="116">
        <f>[2]BS17A!V957</f>
        <v>804755</v>
      </c>
    </row>
    <row r="93" spans="1:6" ht="15" customHeight="1" x14ac:dyDescent="0.2">
      <c r="A93" s="22" t="s">
        <v>141</v>
      </c>
      <c r="B93" s="28" t="s">
        <v>142</v>
      </c>
      <c r="C93" s="113">
        <f>+[2]BS17!F69</f>
        <v>6</v>
      </c>
      <c r="D93" s="114">
        <f>+[2]BS17!G69</f>
        <v>0</v>
      </c>
      <c r="E93" s="115">
        <f>+[2]BS17!H69</f>
        <v>0</v>
      </c>
      <c r="F93" s="116">
        <f>[2]BS17A!V1033</f>
        <v>316670</v>
      </c>
    </row>
    <row r="94" spans="1:6" ht="15" customHeight="1" x14ac:dyDescent="0.2">
      <c r="A94" s="22" t="s">
        <v>143</v>
      </c>
      <c r="B94" s="28" t="s">
        <v>144</v>
      </c>
      <c r="C94" s="113">
        <f>+[2]BS17!F70</f>
        <v>104</v>
      </c>
      <c r="D94" s="114">
        <f>+[2]BS17!G70</f>
        <v>4</v>
      </c>
      <c r="E94" s="115">
        <f>+[2]BS17!H70</f>
        <v>0</v>
      </c>
      <c r="F94" s="116">
        <f>[2]BS17A!V1094</f>
        <v>4530025</v>
      </c>
    </row>
    <row r="95" spans="1:6" ht="15" customHeight="1" x14ac:dyDescent="0.2">
      <c r="A95" s="22" t="s">
        <v>145</v>
      </c>
      <c r="B95" s="28" t="s">
        <v>146</v>
      </c>
      <c r="C95" s="113">
        <f>+[2]BS17!F71</f>
        <v>152</v>
      </c>
      <c r="D95" s="114">
        <f>+[2]BS17!G71</f>
        <v>0</v>
      </c>
      <c r="E95" s="115">
        <f>+[2]BS17!H71</f>
        <v>0</v>
      </c>
      <c r="F95" s="116">
        <f>[2]BS17A!V1162</f>
        <v>3594710</v>
      </c>
    </row>
    <row r="96" spans="1:6" ht="15" customHeight="1" x14ac:dyDescent="0.2">
      <c r="A96" s="22" t="s">
        <v>147</v>
      </c>
      <c r="B96" s="28" t="s">
        <v>148</v>
      </c>
      <c r="C96" s="113">
        <f>+[2]BS17!F72</f>
        <v>2</v>
      </c>
      <c r="D96" s="114">
        <f>+[2]BS17!G72</f>
        <v>0</v>
      </c>
      <c r="E96" s="115">
        <f>+[2]BS17!H72</f>
        <v>0</v>
      </c>
      <c r="F96" s="116">
        <f>[2]BS17A!V1210</f>
        <v>187450</v>
      </c>
    </row>
    <row r="97" spans="1:6" ht="15" customHeight="1" x14ac:dyDescent="0.2">
      <c r="A97" s="22" t="s">
        <v>149</v>
      </c>
      <c r="B97" s="28" t="s">
        <v>150</v>
      </c>
      <c r="C97" s="113">
        <f>+[2]BS17!F73</f>
        <v>2</v>
      </c>
      <c r="D97" s="114">
        <f>+[2]BS17!G73</f>
        <v>0</v>
      </c>
      <c r="E97" s="115">
        <f>+[2]BS17!H73</f>
        <v>0</v>
      </c>
      <c r="F97" s="116">
        <f>[2]BS17A!V1276</f>
        <v>296330</v>
      </c>
    </row>
    <row r="98" spans="1:6" ht="15" customHeight="1" x14ac:dyDescent="0.2">
      <c r="A98" s="22" t="s">
        <v>151</v>
      </c>
      <c r="B98" s="28" t="s">
        <v>152</v>
      </c>
      <c r="C98" s="113">
        <f>+[2]BS17!F74</f>
        <v>118</v>
      </c>
      <c r="D98" s="114">
        <f>+[2]BS17!G74</f>
        <v>8</v>
      </c>
      <c r="E98" s="115">
        <f>+[2]BS17!H74</f>
        <v>0</v>
      </c>
      <c r="F98" s="116">
        <f>[2]BS17A!V1346</f>
        <v>25937450</v>
      </c>
    </row>
    <row r="99" spans="1:6" ht="15" customHeight="1" x14ac:dyDescent="0.2">
      <c r="A99" s="22" t="s">
        <v>153</v>
      </c>
      <c r="B99" s="28" t="s">
        <v>154</v>
      </c>
      <c r="C99" s="113">
        <f>+[2]BS17!F75</f>
        <v>8</v>
      </c>
      <c r="D99" s="114">
        <f>+[2]BS17!G75</f>
        <v>1</v>
      </c>
      <c r="E99" s="115">
        <f>+[2]BS17!H75</f>
        <v>0</v>
      </c>
      <c r="F99" s="116">
        <f>[2]BS17A!V1430</f>
        <v>694005</v>
      </c>
    </row>
    <row r="100" spans="1:6" ht="15" customHeight="1" x14ac:dyDescent="0.2">
      <c r="A100" s="22" t="s">
        <v>155</v>
      </c>
      <c r="B100" s="28" t="s">
        <v>156</v>
      </c>
      <c r="C100" s="113">
        <f>+[2]BS17!F76</f>
        <v>11</v>
      </c>
      <c r="D100" s="114">
        <f>+[2]BS17!G76</f>
        <v>1</v>
      </c>
      <c r="E100" s="115">
        <f>+[2]BS17!H76</f>
        <v>0</v>
      </c>
      <c r="F100" s="116">
        <f>[2]BS17A!V1477</f>
        <v>1725640</v>
      </c>
    </row>
    <row r="101" spans="1:6" ht="15" customHeight="1" x14ac:dyDescent="0.2">
      <c r="A101" s="22" t="s">
        <v>157</v>
      </c>
      <c r="B101" s="28" t="s">
        <v>158</v>
      </c>
      <c r="C101" s="113">
        <f>+[2]BS17!F77</f>
        <v>5</v>
      </c>
      <c r="D101" s="114">
        <f>+[2]BS17!G77</f>
        <v>0</v>
      </c>
      <c r="E101" s="115">
        <f>+[2]BS17!H77</f>
        <v>0</v>
      </c>
      <c r="F101" s="116">
        <f>[2]BS17A!V1580</f>
        <v>824890</v>
      </c>
    </row>
    <row r="102" spans="1:6" ht="15" customHeight="1" x14ac:dyDescent="0.2">
      <c r="A102" s="65" t="s">
        <v>159</v>
      </c>
      <c r="B102" s="30" t="s">
        <v>160</v>
      </c>
      <c r="C102" s="117">
        <f>+[2]BS17!F78</f>
        <v>24</v>
      </c>
      <c r="D102" s="118">
        <f>+[2]BS17!G78</f>
        <v>4</v>
      </c>
      <c r="E102" s="119">
        <f>+[2]BS17!H78</f>
        <v>0</v>
      </c>
      <c r="F102" s="120">
        <f>[2]BS17A!V1585</f>
        <v>3819945</v>
      </c>
    </row>
    <row r="103" spans="1:6" ht="15" customHeight="1" x14ac:dyDescent="0.2">
      <c r="A103" s="17" t="s">
        <v>161</v>
      </c>
      <c r="B103" s="36" t="s">
        <v>162</v>
      </c>
      <c r="C103" s="109">
        <f>+[2]BS17!F79</f>
        <v>62</v>
      </c>
      <c r="D103" s="110">
        <f>+[2]BS17!G79</f>
        <v>0</v>
      </c>
      <c r="E103" s="111">
        <f>+[2]BS17!H79</f>
        <v>0</v>
      </c>
      <c r="F103" s="112">
        <f>+[2]BS17A!V1619</f>
        <v>6313630</v>
      </c>
    </row>
    <row r="104" spans="1:6" ht="15" customHeight="1" x14ac:dyDescent="0.2">
      <c r="A104" s="22"/>
      <c r="B104" s="28" t="s">
        <v>163</v>
      </c>
      <c r="C104" s="113">
        <f>+[2]BS17A!D1623</f>
        <v>0</v>
      </c>
      <c r="D104" s="114">
        <f>+[2]BS17A!F1623</f>
        <v>0</v>
      </c>
      <c r="E104" s="115">
        <f>+[2]BS17A!G1623</f>
        <v>0</v>
      </c>
      <c r="F104" s="116">
        <f>+[2]BS17A!V1623</f>
        <v>0</v>
      </c>
    </row>
    <row r="105" spans="1:6" ht="15" customHeight="1" x14ac:dyDescent="0.2">
      <c r="A105" s="22"/>
      <c r="B105" s="28" t="s">
        <v>164</v>
      </c>
      <c r="C105" s="113">
        <f>+[2]BS17A!D1622</f>
        <v>33</v>
      </c>
      <c r="D105" s="114">
        <f>+[2]BS17A!F1622</f>
        <v>0</v>
      </c>
      <c r="E105" s="115">
        <f>+[2]BS17A!G1622</f>
        <v>0</v>
      </c>
      <c r="F105" s="116">
        <f>+[2]BS17A!V1622</f>
        <v>3780810</v>
      </c>
    </row>
    <row r="106" spans="1:6" ht="15" customHeight="1" x14ac:dyDescent="0.2">
      <c r="A106" s="29"/>
      <c r="B106" s="39" t="s">
        <v>165</v>
      </c>
      <c r="C106" s="121">
        <f>+[2]BS17A!D1620+[2]BS17A!D1621</f>
        <v>29</v>
      </c>
      <c r="D106" s="122">
        <f>+[2]BS17A!F1620+[2]BS17A!F1621</f>
        <v>0</v>
      </c>
      <c r="E106" s="123">
        <f>+[2]BS17A!G1620+[2]BS17A!G1621</f>
        <v>0</v>
      </c>
      <c r="F106" s="124">
        <f>+[2]BS17A!V1620+[2]BS17A!V1621</f>
        <v>2532820</v>
      </c>
    </row>
    <row r="107" spans="1:6" ht="15" customHeight="1" x14ac:dyDescent="0.2">
      <c r="A107" s="59" t="s">
        <v>166</v>
      </c>
      <c r="B107" s="79" t="s">
        <v>167</v>
      </c>
      <c r="C107" s="125">
        <f>+[2]BS17!F80</f>
        <v>20</v>
      </c>
      <c r="D107" s="126">
        <f>+[2]BS17!G80</f>
        <v>0</v>
      </c>
      <c r="E107" s="127">
        <f>+[2]BS17!H80</f>
        <v>0</v>
      </c>
      <c r="F107" s="128">
        <f>+[2]BS17A!V1627</f>
        <v>2942000</v>
      </c>
    </row>
    <row r="108" spans="1:6" ht="15" customHeight="1" x14ac:dyDescent="0.2">
      <c r="A108" s="129">
        <v>2106</v>
      </c>
      <c r="B108" s="39" t="s">
        <v>168</v>
      </c>
      <c r="C108" s="121">
        <f>[2]BS17A!D1833</f>
        <v>1</v>
      </c>
      <c r="D108" s="122">
        <f>[2]BS17A!F1833</f>
        <v>0</v>
      </c>
      <c r="E108" s="123">
        <f>[2]BS17A!G1833</f>
        <v>0</v>
      </c>
      <c r="F108" s="124">
        <f>+[2]BS17A!V1833</f>
        <v>47910</v>
      </c>
    </row>
    <row r="109" spans="1:6" ht="15" customHeight="1" x14ac:dyDescent="0.2">
      <c r="A109" s="130"/>
      <c r="B109" s="131" t="s">
        <v>169</v>
      </c>
      <c r="C109" s="132">
        <f>SUM(C90:C108)-C103</f>
        <v>597</v>
      </c>
      <c r="D109" s="133">
        <f>SUM(D90:D108)-D103</f>
        <v>20</v>
      </c>
      <c r="E109" s="134">
        <f>+SUM(E90:E103)+E107+E108</f>
        <v>0</v>
      </c>
      <c r="F109" s="135">
        <f>+SUM(F90:F103)+F107+F108</f>
        <v>81839580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256" t="s">
        <v>170</v>
      </c>
      <c r="B112" s="252"/>
      <c r="C112" s="252"/>
      <c r="D112" s="252"/>
      <c r="E112" s="253"/>
      <c r="F112" s="5"/>
    </row>
    <row r="113" spans="1:6" ht="38.25" x14ac:dyDescent="0.2">
      <c r="A113" s="11" t="s">
        <v>8</v>
      </c>
      <c r="B113" s="11" t="s">
        <v>9</v>
      </c>
      <c r="C113" s="12" t="s">
        <v>10</v>
      </c>
      <c r="D113" s="13" t="s">
        <v>11</v>
      </c>
      <c r="E113" s="1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19">
        <f>+[2]BS17A!D1624</f>
        <v>123</v>
      </c>
      <c r="D114" s="136">
        <f>+[2]BS17A!U1624</f>
        <v>114560</v>
      </c>
      <c r="E114" s="137">
        <f>+[2]BS17A!V1624</f>
        <v>14090880</v>
      </c>
      <c r="F114" s="8"/>
    </row>
    <row r="115" spans="1:6" ht="15" customHeight="1" x14ac:dyDescent="0.2">
      <c r="A115" s="29" t="s">
        <v>173</v>
      </c>
      <c r="B115" s="138" t="s">
        <v>174</v>
      </c>
      <c r="C115" s="66">
        <f>+[2]BS17A!D1625</f>
        <v>2</v>
      </c>
      <c r="D115" s="139">
        <f>+[2]BS17A!U1625</f>
        <v>120540</v>
      </c>
      <c r="E115" s="106">
        <f>+[2]BS17A!V1625</f>
        <v>241080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125</v>
      </c>
      <c r="D116" s="57"/>
      <c r="E116" s="107">
        <f>SUM(E114:E115)</f>
        <v>14331960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262" t="s">
        <v>176</v>
      </c>
      <c r="B119" s="262"/>
      <c r="C119" s="262"/>
      <c r="D119" s="8"/>
      <c r="E119" s="8"/>
      <c r="F119" s="5"/>
    </row>
    <row r="120" spans="1:6" ht="28.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+[2]BS17A!V1859+[2]BS17A!V1876+[2]BS17A!V1895</f>
        <v>8513800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256" t="s">
        <v>179</v>
      </c>
      <c r="B124" s="252"/>
      <c r="C124" s="252"/>
      <c r="D124" s="252"/>
      <c r="E124" s="253"/>
      <c r="F124" s="5"/>
    </row>
    <row r="125" spans="1:6" ht="38.25" x14ac:dyDescent="0.2">
      <c r="A125" s="11" t="s">
        <v>8</v>
      </c>
      <c r="B125" s="11" t="s">
        <v>9</v>
      </c>
      <c r="C125" s="12" t="s">
        <v>10</v>
      </c>
      <c r="D125" s="13" t="s">
        <v>11</v>
      </c>
      <c r="E125" s="1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19">
        <f>+[2]BS17A!$D59</f>
        <v>4687</v>
      </c>
      <c r="D126" s="37">
        <f>+[2]BS17A!$U59</f>
        <v>29340</v>
      </c>
      <c r="E126" s="145">
        <f>+[2]BS17A!$V59</f>
        <v>137516580</v>
      </c>
      <c r="F126" s="8"/>
    </row>
    <row r="127" spans="1:6" ht="15" customHeight="1" x14ac:dyDescent="0.2">
      <c r="A127" s="22" t="s">
        <v>182</v>
      </c>
      <c r="B127" s="23" t="s">
        <v>183</v>
      </c>
      <c r="C127" s="24">
        <f>+[2]BS17A!$D60</f>
        <v>0</v>
      </c>
      <c r="D127" s="25">
        <f>+[2]BS17A!$U60</f>
        <v>27010</v>
      </c>
      <c r="E127" s="146">
        <f>+[2]BS17A!$V60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24">
        <f>+[2]BS17A!$D61</f>
        <v>0</v>
      </c>
      <c r="D128" s="25">
        <f>+[2]BS17A!$U61</f>
        <v>22520</v>
      </c>
      <c r="E128" s="146">
        <f>+[2]BS17A!$V61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24">
        <f>SUM([2]BS17A!D62:D64)</f>
        <v>0</v>
      </c>
      <c r="D129" s="25">
        <f>+[2]BS17A!$U62</f>
        <v>121970</v>
      </c>
      <c r="E129" s="146">
        <f>SUM([2]BS17A!V62:V64)</f>
        <v>0</v>
      </c>
      <c r="F129" s="8"/>
    </row>
    <row r="130" spans="1:6" ht="15" customHeight="1" x14ac:dyDescent="0.2">
      <c r="A130" s="22" t="s">
        <v>188</v>
      </c>
      <c r="B130" s="23" t="s">
        <v>189</v>
      </c>
      <c r="C130" s="24">
        <f>SUM([2]BS17A!D65:D67)</f>
        <v>190</v>
      </c>
      <c r="D130" s="25">
        <f>+[2]BS17A!$U65</f>
        <v>58920</v>
      </c>
      <c r="E130" s="146">
        <f>SUM([2]BS17A!V65:V67)</f>
        <v>11194800</v>
      </c>
      <c r="F130" s="8"/>
    </row>
    <row r="131" spans="1:6" ht="15" customHeight="1" x14ac:dyDescent="0.2">
      <c r="A131" s="22" t="s">
        <v>190</v>
      </c>
      <c r="B131" s="23" t="s">
        <v>191</v>
      </c>
      <c r="C131" s="24">
        <f>+[2]BS17A!D68</f>
        <v>199</v>
      </c>
      <c r="D131" s="25">
        <f>+[2]BS17A!$U68</f>
        <v>52860</v>
      </c>
      <c r="E131" s="146">
        <f>+[2]BS17A!$V68</f>
        <v>10519140</v>
      </c>
      <c r="F131" s="8"/>
    </row>
    <row r="132" spans="1:6" ht="15" customHeight="1" x14ac:dyDescent="0.2">
      <c r="A132" s="22" t="s">
        <v>192</v>
      </c>
      <c r="B132" s="23" t="s">
        <v>193</v>
      </c>
      <c r="C132" s="24">
        <f>+[2]BS17A!$D69</f>
        <v>0</v>
      </c>
      <c r="D132" s="25">
        <f>+[2]BS17A!$U69</f>
        <v>15000</v>
      </c>
      <c r="E132" s="146">
        <f>+[2]BS17A!$V69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24">
        <f>+[2]BS17A!$D70</f>
        <v>0</v>
      </c>
      <c r="D133" s="25">
        <f>+[2]BS17A!$U70</f>
        <v>23500</v>
      </c>
      <c r="E133" s="146">
        <f>+[2]BS17A!$V70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24">
        <f>+[2]BS17A!$D73</f>
        <v>0</v>
      </c>
      <c r="D134" s="25">
        <f>+[2]BS17A!$U73</f>
        <v>23690</v>
      </c>
      <c r="E134" s="146">
        <f>+[2]BS17A!$V73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24">
        <f>+[2]BS17A!$D71</f>
        <v>0</v>
      </c>
      <c r="D135" s="25">
        <f>+[2]BS17A!$U71</f>
        <v>24460</v>
      </c>
      <c r="E135" s="146">
        <f>+[2]BS17A!$V71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24">
        <f>+[2]BS17A!$D76</f>
        <v>0</v>
      </c>
      <c r="D136" s="25">
        <f>+[2]BS17A!$U76</f>
        <v>29340</v>
      </c>
      <c r="E136" s="146">
        <f>+[2]BS17A!$V76</f>
        <v>0</v>
      </c>
      <c r="F136" s="8"/>
    </row>
    <row r="137" spans="1:6" ht="15" customHeight="1" x14ac:dyDescent="0.2">
      <c r="A137" s="22" t="s">
        <v>202</v>
      </c>
      <c r="B137" s="28" t="s">
        <v>203</v>
      </c>
      <c r="C137" s="24">
        <f>+[2]BS17A!$D79</f>
        <v>0</v>
      </c>
      <c r="D137" s="25">
        <f>+[2]BS17A!$U79</f>
        <v>5690</v>
      </c>
      <c r="E137" s="146">
        <f>+[2]BS17A!$V79</f>
        <v>0</v>
      </c>
      <c r="F137" s="8"/>
    </row>
    <row r="138" spans="1:6" ht="15" customHeight="1" x14ac:dyDescent="0.2">
      <c r="A138" s="22" t="s">
        <v>204</v>
      </c>
      <c r="B138" s="28" t="s">
        <v>205</v>
      </c>
      <c r="C138" s="24">
        <f>+[2]BS17A!$D80</f>
        <v>0</v>
      </c>
      <c r="D138" s="25">
        <f>+[2]BS17A!$U80</f>
        <v>41110</v>
      </c>
      <c r="E138" s="146">
        <f>+[2]BS17A!$V80</f>
        <v>0</v>
      </c>
      <c r="F138" s="8"/>
    </row>
    <row r="139" spans="1:6" ht="15" customHeight="1" x14ac:dyDescent="0.2">
      <c r="A139" s="29"/>
      <c r="B139" s="147" t="s">
        <v>206</v>
      </c>
      <c r="C139" s="148">
        <f>SUM(C126:C138)</f>
        <v>5076</v>
      </c>
      <c r="D139" s="149"/>
      <c r="E139" s="150">
        <f>SUM(E126:E138)</f>
        <v>159230520</v>
      </c>
      <c r="F139" s="8"/>
    </row>
    <row r="140" spans="1:6" ht="15" customHeight="1" x14ac:dyDescent="0.2">
      <c r="A140" s="17"/>
      <c r="B140" s="81" t="s">
        <v>207</v>
      </c>
      <c r="C140" s="19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24">
        <f>+[2]BS17A!$D72</f>
        <v>0</v>
      </c>
      <c r="D141" s="25">
        <f>+[2]BS17A!$U72</f>
        <v>9860</v>
      </c>
      <c r="E141" s="146">
        <f>+[2]BS17A!$V72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24">
        <f>+[2]BS17A!$D74</f>
        <v>0</v>
      </c>
      <c r="D142" s="25">
        <f>+[2]BS17A!$U74</f>
        <v>9860</v>
      </c>
      <c r="E142" s="146">
        <f>+[2]BS17A!$V74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24">
        <f>+[2]BS17A!$D75</f>
        <v>6</v>
      </c>
      <c r="D143" s="25">
        <f>+[2]BS17A!$U75</f>
        <v>4350</v>
      </c>
      <c r="E143" s="146">
        <f>+[2]BS17A!$V75</f>
        <v>26100</v>
      </c>
      <c r="F143" s="8"/>
    </row>
    <row r="144" spans="1:6" ht="15" customHeight="1" x14ac:dyDescent="0.2">
      <c r="A144" s="22" t="s">
        <v>214</v>
      </c>
      <c r="B144" s="23" t="s">
        <v>215</v>
      </c>
      <c r="C144" s="24">
        <f>+[2]BS17A!$D77</f>
        <v>0</v>
      </c>
      <c r="D144" s="25">
        <f>+[2]BS17A!$U77</f>
        <v>79320</v>
      </c>
      <c r="E144" s="146">
        <f>+[2]BS17A!$V77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24">
        <f>+[2]BS17A!$D78</f>
        <v>0</v>
      </c>
      <c r="D145" s="25">
        <f>+[2]BS17A!$U78</f>
        <v>9360</v>
      </c>
      <c r="E145" s="146">
        <f>+[2]BS17A!$V78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24">
        <f>+[2]BS17A!$D81</f>
        <v>0</v>
      </c>
      <c r="D146" s="25">
        <f>+[2]BS17A!$U81</f>
        <v>7210</v>
      </c>
      <c r="E146" s="146">
        <f>+[2]BS17A!$V81</f>
        <v>0</v>
      </c>
      <c r="F146" s="8"/>
    </row>
    <row r="147" spans="1:6" ht="15" customHeight="1" x14ac:dyDescent="0.2">
      <c r="A147" s="29"/>
      <c r="B147" s="147" t="s">
        <v>220</v>
      </c>
      <c r="C147" s="148">
        <f>SUM(C141:C146)</f>
        <v>6</v>
      </c>
      <c r="D147" s="149"/>
      <c r="E147" s="150">
        <f>SUM(E141:E146)</f>
        <v>26100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5082</v>
      </c>
      <c r="D148" s="151"/>
      <c r="E148" s="152">
        <f>+E139+E147</f>
        <v>159256620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239" t="s">
        <v>222</v>
      </c>
      <c r="B151" s="240"/>
      <c r="C151" s="240"/>
      <c r="D151" s="240"/>
      <c r="E151" s="241"/>
      <c r="F151" s="5"/>
    </row>
    <row r="152" spans="1:6" ht="36" customHeight="1" x14ac:dyDescent="0.2">
      <c r="A152" s="11" t="s">
        <v>8</v>
      </c>
      <c r="B152" s="11" t="s">
        <v>9</v>
      </c>
      <c r="C152" s="12" t="s">
        <v>10</v>
      </c>
      <c r="D152" s="13" t="s">
        <v>11</v>
      </c>
      <c r="E152" s="1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19">
        <f>+[2]BS17A!D43</f>
        <v>2499</v>
      </c>
      <c r="D153" s="37">
        <f>[2]BS17A!U43</f>
        <v>680</v>
      </c>
      <c r="E153" s="145">
        <f>+[2]BS17A!V43</f>
        <v>1699320</v>
      </c>
      <c r="F153" s="8"/>
    </row>
    <row r="154" spans="1:6" ht="15" customHeight="1" x14ac:dyDescent="0.2">
      <c r="A154" s="29" t="s">
        <v>225</v>
      </c>
      <c r="B154" s="43" t="s">
        <v>226</v>
      </c>
      <c r="C154" s="31">
        <f>+[2]BS17A!D44+[2]BS17A!D45</f>
        <v>0</v>
      </c>
      <c r="D154" s="40">
        <f>[2]BS17A!U44</f>
        <v>100</v>
      </c>
      <c r="E154" s="153">
        <f>+[2]BS17A!V44+[2]BS17A!V45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2499</v>
      </c>
      <c r="D155" s="151"/>
      <c r="E155" s="152">
        <f>SUM(E153:E154)</f>
        <v>1699320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239" t="s">
        <v>228</v>
      </c>
      <c r="B158" s="240"/>
      <c r="C158" s="240"/>
      <c r="D158" s="240"/>
      <c r="E158" s="241"/>
      <c r="F158" s="5"/>
    </row>
    <row r="159" spans="1:6" ht="47.25" customHeight="1" x14ac:dyDescent="0.2">
      <c r="A159" s="11" t="s">
        <v>8</v>
      </c>
      <c r="B159" s="11" t="s">
        <v>9</v>
      </c>
      <c r="C159" s="12" t="s">
        <v>10</v>
      </c>
      <c r="D159" s="13" t="s">
        <v>11</v>
      </c>
      <c r="E159" s="1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+[2]BS17A!$D1470</f>
        <v>0</v>
      </c>
      <c r="D160" s="37">
        <f>+[2]BS17A!$U1470</f>
        <v>36940</v>
      </c>
      <c r="E160" s="145">
        <f>+[2]BS17A!$V1470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+[2]BS17A!$D1471</f>
        <v>0</v>
      </c>
      <c r="D161" s="25">
        <f>+[2]BS17A!$U1471</f>
        <v>23230</v>
      </c>
      <c r="E161" s="146">
        <f>+[2]BS17A!$V1471</f>
        <v>0</v>
      </c>
      <c r="F161" s="8"/>
    </row>
    <row r="162" spans="1:6" ht="15" customHeight="1" x14ac:dyDescent="0.2">
      <c r="A162" s="22" t="s">
        <v>233</v>
      </c>
      <c r="B162" s="28" t="s">
        <v>234</v>
      </c>
      <c r="C162" s="155">
        <f>+[2]BS17A!$D1472</f>
        <v>0</v>
      </c>
      <c r="D162" s="25">
        <f>+[2]BS17A!$U1472</f>
        <v>23230</v>
      </c>
      <c r="E162" s="146">
        <f>+[2]BS17A!$V1472</f>
        <v>0</v>
      </c>
      <c r="F162" s="8"/>
    </row>
    <row r="163" spans="1:6" ht="15" customHeight="1" x14ac:dyDescent="0.2">
      <c r="A163" s="22" t="s">
        <v>235</v>
      </c>
      <c r="B163" s="156" t="s">
        <v>236</v>
      </c>
      <c r="C163" s="155">
        <f>+[2]BS17A!$D1473</f>
        <v>0</v>
      </c>
      <c r="D163" s="25">
        <f>+[2]BS17A!$U1473</f>
        <v>703680</v>
      </c>
      <c r="E163" s="146">
        <f>+[2]BS17A!$V1473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+[2]BS17A!$D1474</f>
        <v>0</v>
      </c>
      <c r="D164" s="25">
        <f>+[2]BS17A!$U1474</f>
        <v>498630</v>
      </c>
      <c r="E164" s="146">
        <f>+[2]BS17A!$V1474</f>
        <v>0</v>
      </c>
      <c r="F164" s="8"/>
    </row>
    <row r="165" spans="1:6" ht="15" customHeight="1" x14ac:dyDescent="0.2">
      <c r="A165" s="65" t="s">
        <v>239</v>
      </c>
      <c r="B165" s="138" t="s">
        <v>240</v>
      </c>
      <c r="C165" s="155">
        <f>+[2]BS17A!$D1475</f>
        <v>0</v>
      </c>
      <c r="D165" s="25">
        <f>+[2]BS17A!$U1475</f>
        <v>42450</v>
      </c>
      <c r="E165" s="146">
        <f>+[2]BS17A!$V1475</f>
        <v>0</v>
      </c>
      <c r="F165" s="8"/>
    </row>
    <row r="166" spans="1:6" ht="15" customHeight="1" x14ac:dyDescent="0.2">
      <c r="A166" s="129">
        <v>1901029</v>
      </c>
      <c r="B166" s="157" t="s">
        <v>241</v>
      </c>
      <c r="C166" s="158">
        <f>+[2]BS17A!$D1476</f>
        <v>0</v>
      </c>
      <c r="D166" s="40">
        <f>+[2]BS17A!$U1476</f>
        <v>573040</v>
      </c>
      <c r="E166" s="153">
        <f>+[2]BS17A!$V1476</f>
        <v>0</v>
      </c>
      <c r="F166" s="8"/>
    </row>
    <row r="167" spans="1:6" ht="15" customHeight="1" x14ac:dyDescent="0.2">
      <c r="A167" s="159"/>
      <c r="B167" s="160" t="s">
        <v>242</v>
      </c>
      <c r="C167" s="161">
        <f>SUM(C160:C166)</f>
        <v>0</v>
      </c>
      <c r="D167" s="162"/>
      <c r="E167" s="163">
        <f>SUM(E160:E166)</f>
        <v>0</v>
      </c>
      <c r="F167" s="8"/>
    </row>
    <row r="168" spans="1:6" ht="12.75" x14ac:dyDescent="0.2">
      <c r="A168" s="8"/>
      <c r="B168" s="8"/>
      <c r="C168" s="8"/>
      <c r="D168" s="8"/>
      <c r="E168" s="8"/>
      <c r="F168" s="8"/>
    </row>
    <row r="169" spans="1:6" ht="18" customHeight="1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256" t="s">
        <v>243</v>
      </c>
      <c r="B170" s="252"/>
      <c r="C170" s="252"/>
      <c r="D170" s="252"/>
      <c r="E170" s="253"/>
      <c r="F170" s="5"/>
    </row>
    <row r="171" spans="1:6" ht="35.25" customHeight="1" x14ac:dyDescent="0.2">
      <c r="A171" s="11" t="s">
        <v>8</v>
      </c>
      <c r="B171" s="11" t="s">
        <v>9</v>
      </c>
      <c r="C171" s="12" t="s">
        <v>10</v>
      </c>
      <c r="D171" s="13" t="s">
        <v>11</v>
      </c>
      <c r="E171" s="14" t="s">
        <v>12</v>
      </c>
      <c r="F171" s="8"/>
    </row>
    <row r="172" spans="1:6" ht="12.75" customHeight="1" x14ac:dyDescent="0.2">
      <c r="A172" s="164">
        <v>1101004</v>
      </c>
      <c r="B172" s="165" t="s">
        <v>244</v>
      </c>
      <c r="C172" s="19">
        <f>+[2]BS17A!$D801</f>
        <v>0</v>
      </c>
      <c r="D172" s="37">
        <f>+[2]BS17A!$U801</f>
        <v>12660</v>
      </c>
      <c r="E172" s="145">
        <f>+[2]BS17A!$V801</f>
        <v>0</v>
      </c>
      <c r="F172" s="8"/>
    </row>
    <row r="173" spans="1:6" ht="12.75" customHeight="1" x14ac:dyDescent="0.2">
      <c r="A173" s="104">
        <v>1101006</v>
      </c>
      <c r="B173" s="166" t="s">
        <v>245</v>
      </c>
      <c r="C173" s="24">
        <f>+[2]BS17A!$D802</f>
        <v>5</v>
      </c>
      <c r="D173" s="25">
        <f>+[2]BS17A!$U802</f>
        <v>10140</v>
      </c>
      <c r="E173" s="146">
        <f>+[2]BS17A!$V802</f>
        <v>50700</v>
      </c>
      <c r="F173" s="8"/>
    </row>
    <row r="174" spans="1:6" ht="24.75" customHeight="1" x14ac:dyDescent="0.2">
      <c r="A174" s="104" t="s">
        <v>246</v>
      </c>
      <c r="B174" s="167" t="s">
        <v>247</v>
      </c>
      <c r="C174" s="24">
        <f>+[2]BS17A!$D1186</f>
        <v>583</v>
      </c>
      <c r="D174" s="25">
        <f>+[2]BS17A!$U1186</f>
        <v>4340</v>
      </c>
      <c r="E174" s="146">
        <f>+[2]BS17A!$V1186</f>
        <v>2530220</v>
      </c>
      <c r="F174" s="8"/>
    </row>
    <row r="175" spans="1:6" ht="24.75" customHeight="1" x14ac:dyDescent="0.2">
      <c r="A175" s="104" t="s">
        <v>248</v>
      </c>
      <c r="B175" s="167" t="s">
        <v>249</v>
      </c>
      <c r="C175" s="24">
        <f>+[2]BS17A!$D1187</f>
        <v>2</v>
      </c>
      <c r="D175" s="25">
        <f>+[2]BS17A!$U1187</f>
        <v>12240</v>
      </c>
      <c r="E175" s="146">
        <f>+[2]BS17A!$V1187</f>
        <v>24480</v>
      </c>
      <c r="F175" s="8"/>
    </row>
    <row r="176" spans="1:6" ht="24.75" customHeight="1" x14ac:dyDescent="0.2">
      <c r="A176" s="104" t="s">
        <v>250</v>
      </c>
      <c r="B176" s="167" t="s">
        <v>251</v>
      </c>
      <c r="C176" s="24">
        <f>+[2]BS17A!$D1188</f>
        <v>20</v>
      </c>
      <c r="D176" s="25">
        <f>+[2]BS17A!$U1188</f>
        <v>20750</v>
      </c>
      <c r="E176" s="146">
        <f>+[2]BS17A!$V1188</f>
        <v>415000</v>
      </c>
      <c r="F176" s="8"/>
    </row>
    <row r="177" spans="1:6" ht="12.75" customHeight="1" x14ac:dyDescent="0.2">
      <c r="A177" s="104" t="s">
        <v>252</v>
      </c>
      <c r="B177" s="167" t="s">
        <v>253</v>
      </c>
      <c r="C177" s="24">
        <f>+[2]BS17A!$D1189</f>
        <v>0</v>
      </c>
      <c r="D177" s="25">
        <f>+[2]BS17A!$U1189</f>
        <v>39600</v>
      </c>
      <c r="E177" s="146">
        <f>+[2]BS17A!$V1189</f>
        <v>0</v>
      </c>
      <c r="F177" s="8"/>
    </row>
    <row r="178" spans="1:6" ht="12.75" customHeight="1" x14ac:dyDescent="0.2">
      <c r="A178" s="104" t="s">
        <v>254</v>
      </c>
      <c r="B178" s="167" t="s">
        <v>255</v>
      </c>
      <c r="C178" s="24">
        <f>+[2]BS17A!$D1190</f>
        <v>26</v>
      </c>
      <c r="D178" s="25">
        <f>+[2]BS17A!$U1190</f>
        <v>44140</v>
      </c>
      <c r="E178" s="146">
        <f>+[2]BS17A!$V1190</f>
        <v>1147640</v>
      </c>
      <c r="F178" s="8"/>
    </row>
    <row r="179" spans="1:6" ht="24.75" customHeight="1" x14ac:dyDescent="0.2">
      <c r="A179" s="104" t="s">
        <v>256</v>
      </c>
      <c r="B179" s="167" t="s">
        <v>257</v>
      </c>
      <c r="C179" s="24">
        <f>+[2]BS17A!$D1191</f>
        <v>0</v>
      </c>
      <c r="D179" s="25">
        <f>+[2]BS17A!$U1191</f>
        <v>24760</v>
      </c>
      <c r="E179" s="146">
        <f>+[2]BS17A!$V1191</f>
        <v>0</v>
      </c>
      <c r="F179" s="8"/>
    </row>
    <row r="180" spans="1:6" ht="12.75" customHeight="1" x14ac:dyDescent="0.2">
      <c r="A180" s="104" t="s">
        <v>258</v>
      </c>
      <c r="B180" s="156" t="s">
        <v>259</v>
      </c>
      <c r="C180" s="24">
        <f>+[2]BS17A!$D1192</f>
        <v>0</v>
      </c>
      <c r="D180" s="25">
        <f>+[2]BS17A!$U1192</f>
        <v>191590</v>
      </c>
      <c r="E180" s="146">
        <f>+[2]BS17A!$V1192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24">
        <f>+[2]BS17A!$D1193</f>
        <v>0</v>
      </c>
      <c r="D181" s="25">
        <f>+[2]BS17A!$U1193</f>
        <v>217800</v>
      </c>
      <c r="E181" s="146">
        <f>+[2]BS17A!$V1193</f>
        <v>0</v>
      </c>
      <c r="F181" s="8"/>
    </row>
    <row r="182" spans="1:6" ht="12.75" customHeight="1" x14ac:dyDescent="0.2">
      <c r="A182" s="104" t="s">
        <v>262</v>
      </c>
      <c r="B182" s="167" t="s">
        <v>263</v>
      </c>
      <c r="C182" s="24">
        <f>+[2]BS17A!$D1194</f>
        <v>0</v>
      </c>
      <c r="D182" s="25">
        <f>+[2]BS17A!$U1194</f>
        <v>177610</v>
      </c>
      <c r="E182" s="146">
        <f>+[2]BS17A!$V1194</f>
        <v>0</v>
      </c>
      <c r="F182" s="8"/>
    </row>
    <row r="183" spans="1:6" ht="24.75" customHeight="1" x14ac:dyDescent="0.2">
      <c r="A183" s="104" t="s">
        <v>264</v>
      </c>
      <c r="B183" s="156" t="s">
        <v>265</v>
      </c>
      <c r="C183" s="24">
        <f>+[2]BS17A!$D1195</f>
        <v>0</v>
      </c>
      <c r="D183" s="25">
        <f>+[2]BS17A!$U1195</f>
        <v>228130</v>
      </c>
      <c r="E183" s="146">
        <f>+[2]BS17A!$V1195</f>
        <v>0</v>
      </c>
      <c r="F183" s="8"/>
    </row>
    <row r="184" spans="1:6" ht="24.75" customHeight="1" x14ac:dyDescent="0.2">
      <c r="A184" s="104" t="s">
        <v>266</v>
      </c>
      <c r="B184" s="156" t="s">
        <v>267</v>
      </c>
      <c r="C184" s="24">
        <f>+[2]BS17A!$D1196</f>
        <v>0</v>
      </c>
      <c r="D184" s="25">
        <f>+[2]BS17A!$U1196</f>
        <v>233440</v>
      </c>
      <c r="E184" s="146">
        <f>+[2]BS17A!$V1196</f>
        <v>0</v>
      </c>
      <c r="F184" s="8"/>
    </row>
    <row r="185" spans="1:6" ht="24.75" customHeight="1" x14ac:dyDescent="0.2">
      <c r="A185" s="104" t="s">
        <v>268</v>
      </c>
      <c r="B185" s="156" t="s">
        <v>269</v>
      </c>
      <c r="C185" s="24">
        <f>+[2]BS17A!$D1197</f>
        <v>0</v>
      </c>
      <c r="D185" s="25">
        <f>+[2]BS17A!$U1197</f>
        <v>197410</v>
      </c>
      <c r="E185" s="146">
        <f>+[2]BS17A!$V1197</f>
        <v>0</v>
      </c>
      <c r="F185" s="8"/>
    </row>
    <row r="186" spans="1:6" ht="12.75" customHeight="1" x14ac:dyDescent="0.2">
      <c r="A186" s="104" t="s">
        <v>270</v>
      </c>
      <c r="B186" s="156" t="s">
        <v>271</v>
      </c>
      <c r="C186" s="24">
        <f>+[2]BS17A!$D1198</f>
        <v>0</v>
      </c>
      <c r="D186" s="25">
        <f>+[2]BS17A!$U1198</f>
        <v>210720</v>
      </c>
      <c r="E186" s="146">
        <f>+[2]BS17A!$V1198</f>
        <v>0</v>
      </c>
      <c r="F186" s="8"/>
    </row>
    <row r="187" spans="1:6" ht="12.75" customHeight="1" x14ac:dyDescent="0.2">
      <c r="A187" s="104" t="s">
        <v>272</v>
      </c>
      <c r="B187" s="156" t="s">
        <v>273</v>
      </c>
      <c r="C187" s="24">
        <f>+[2]BS17A!$D1199</f>
        <v>0</v>
      </c>
      <c r="D187" s="25">
        <f>+[2]BS17A!$U1199</f>
        <v>251960</v>
      </c>
      <c r="E187" s="146">
        <f>+[2]BS17A!$V1199</f>
        <v>0</v>
      </c>
      <c r="F187" s="8"/>
    </row>
    <row r="188" spans="1:6" ht="24.75" customHeight="1" x14ac:dyDescent="0.2">
      <c r="A188" s="104" t="s">
        <v>274</v>
      </c>
      <c r="B188" s="167" t="s">
        <v>275</v>
      </c>
      <c r="C188" s="24">
        <f>+[2]BS17A!$D1200</f>
        <v>0</v>
      </c>
      <c r="D188" s="25">
        <f>+[2]BS17A!$U1200</f>
        <v>223440</v>
      </c>
      <c r="E188" s="146">
        <f>+[2]BS17A!$V1200</f>
        <v>0</v>
      </c>
      <c r="F188" s="8"/>
    </row>
    <row r="189" spans="1:6" ht="24.75" customHeight="1" x14ac:dyDescent="0.2">
      <c r="A189" s="104" t="s">
        <v>276</v>
      </c>
      <c r="B189" s="156" t="s">
        <v>277</v>
      </c>
      <c r="C189" s="24">
        <f>+[2]BS17A!$D1201</f>
        <v>0</v>
      </c>
      <c r="D189" s="25">
        <f>+[2]BS17A!$U1201</f>
        <v>1635110</v>
      </c>
      <c r="E189" s="146">
        <f>+[2]BS17A!$V1201</f>
        <v>0</v>
      </c>
      <c r="F189" s="8"/>
    </row>
    <row r="190" spans="1:6" ht="12.75" customHeight="1" x14ac:dyDescent="0.2">
      <c r="A190" s="104" t="s">
        <v>278</v>
      </c>
      <c r="B190" s="156" t="s">
        <v>279</v>
      </c>
      <c r="C190" s="24">
        <f>+[2]BS17A!$D1202</f>
        <v>0</v>
      </c>
      <c r="D190" s="25">
        <f>+[2]BS17A!$U1202</f>
        <v>1021290</v>
      </c>
      <c r="E190" s="146">
        <f>+[2]BS17A!$V1202</f>
        <v>0</v>
      </c>
      <c r="F190" s="8"/>
    </row>
    <row r="191" spans="1:6" ht="12.75" customHeight="1" x14ac:dyDescent="0.2">
      <c r="A191" s="22" t="s">
        <v>280</v>
      </c>
      <c r="B191" s="156" t="s">
        <v>281</v>
      </c>
      <c r="C191" s="24">
        <f>+[2]BS17A!$D1203</f>
        <v>0</v>
      </c>
      <c r="D191" s="25">
        <f>+[2]BS17A!$U1203</f>
        <v>988490</v>
      </c>
      <c r="E191" s="146">
        <f>+[2]BS17A!$V1203</f>
        <v>0</v>
      </c>
      <c r="F191" s="8"/>
    </row>
    <row r="192" spans="1:6" ht="24.75" customHeight="1" x14ac:dyDescent="0.2">
      <c r="A192" s="104" t="s">
        <v>282</v>
      </c>
      <c r="B192" s="156" t="s">
        <v>283</v>
      </c>
      <c r="C192" s="24">
        <f>+[2]BS17A!$D1204</f>
        <v>0</v>
      </c>
      <c r="D192" s="25">
        <f>+[2]BS17A!$U1204</f>
        <v>1035570</v>
      </c>
      <c r="E192" s="146">
        <f>+[2]BS17A!$V1204</f>
        <v>0</v>
      </c>
      <c r="F192" s="8"/>
    </row>
    <row r="193" spans="1:6" ht="12.75" customHeight="1" x14ac:dyDescent="0.2">
      <c r="A193" s="22" t="s">
        <v>284</v>
      </c>
      <c r="B193" s="156" t="s">
        <v>285</v>
      </c>
      <c r="C193" s="24">
        <f>+[2]BS17A!$D1205</f>
        <v>0</v>
      </c>
      <c r="D193" s="25">
        <f>+[2]BS17A!$U1205</f>
        <v>146540</v>
      </c>
      <c r="E193" s="146">
        <f>+[2]BS17A!$V1205</f>
        <v>0</v>
      </c>
      <c r="F193" s="8"/>
    </row>
    <row r="194" spans="1:6" ht="12.75" customHeight="1" x14ac:dyDescent="0.2">
      <c r="A194" s="22" t="s">
        <v>286</v>
      </c>
      <c r="B194" s="156" t="s">
        <v>287</v>
      </c>
      <c r="C194" s="24">
        <f>+[2]BS17A!$D1206</f>
        <v>0</v>
      </c>
      <c r="D194" s="25">
        <f>+[2]BS17A!$U1206</f>
        <v>334400</v>
      </c>
      <c r="E194" s="146">
        <f>+[2]BS17A!$V1206</f>
        <v>0</v>
      </c>
      <c r="F194" s="8"/>
    </row>
    <row r="195" spans="1:6" ht="12.75" customHeight="1" x14ac:dyDescent="0.2">
      <c r="A195" s="104" t="s">
        <v>288</v>
      </c>
      <c r="B195" s="156" t="s">
        <v>289</v>
      </c>
      <c r="C195" s="24">
        <f>+[2]BS17A!$D1207</f>
        <v>0</v>
      </c>
      <c r="D195" s="25">
        <f>+[2]BS17A!$U1207</f>
        <v>123970</v>
      </c>
      <c r="E195" s="146">
        <f>+[2]BS17A!$V1207</f>
        <v>0</v>
      </c>
      <c r="F195" s="8"/>
    </row>
    <row r="196" spans="1:6" ht="12.75" customHeight="1" x14ac:dyDescent="0.2">
      <c r="A196" s="104" t="s">
        <v>290</v>
      </c>
      <c r="B196" s="156" t="s">
        <v>291</v>
      </c>
      <c r="C196" s="24">
        <f>+[2]BS17A!$D1208</f>
        <v>0</v>
      </c>
      <c r="D196" s="25">
        <f>+[2]BS17A!$U1208</f>
        <v>1004460</v>
      </c>
      <c r="E196" s="146">
        <f>+[2]BS17A!$V1208</f>
        <v>0</v>
      </c>
      <c r="F196" s="8"/>
    </row>
    <row r="197" spans="1:6" ht="12.75" customHeight="1" x14ac:dyDescent="0.2">
      <c r="A197" s="104" t="s">
        <v>292</v>
      </c>
      <c r="B197" s="156" t="s">
        <v>293</v>
      </c>
      <c r="C197" s="24">
        <f>+[2]BS17A!$D1209</f>
        <v>0</v>
      </c>
      <c r="D197" s="25">
        <f>+[2]BS17A!$U1209</f>
        <v>1004460</v>
      </c>
      <c r="E197" s="146">
        <f>+[2]BS17A!$V1209</f>
        <v>0</v>
      </c>
      <c r="F197" s="8"/>
    </row>
    <row r="198" spans="1:6" ht="12.75" customHeight="1" x14ac:dyDescent="0.2">
      <c r="A198" s="104">
        <v>1801001</v>
      </c>
      <c r="B198" s="166" t="s">
        <v>294</v>
      </c>
      <c r="C198" s="24">
        <f>+[2]BS17A!$D1343</f>
        <v>27</v>
      </c>
      <c r="D198" s="25">
        <f>+[2]BS17A!$U1343</f>
        <v>29960</v>
      </c>
      <c r="E198" s="146">
        <f>+[2]BS17A!$V1343</f>
        <v>808920</v>
      </c>
      <c r="F198" s="8"/>
    </row>
    <row r="199" spans="1:6" ht="12.75" customHeight="1" x14ac:dyDescent="0.2">
      <c r="A199" s="104">
        <v>1801003</v>
      </c>
      <c r="B199" s="156" t="s">
        <v>295</v>
      </c>
      <c r="C199" s="24">
        <f>+[2]BS17A!$D1344</f>
        <v>0</v>
      </c>
      <c r="D199" s="25">
        <f>+[2]BS17A!$U1344</f>
        <v>36140</v>
      </c>
      <c r="E199" s="146">
        <f>+[2]BS17A!$V1344</f>
        <v>0</v>
      </c>
      <c r="F199" s="8"/>
    </row>
    <row r="200" spans="1:6" ht="12.75" customHeight="1" x14ac:dyDescent="0.2">
      <c r="A200" s="104">
        <v>1801006</v>
      </c>
      <c r="B200" s="166" t="s">
        <v>296</v>
      </c>
      <c r="C200" s="24">
        <f>+[2]BS17A!$D1345</f>
        <v>1</v>
      </c>
      <c r="D200" s="25">
        <f>+[2]BS17A!$U1345</f>
        <v>38490</v>
      </c>
      <c r="E200" s="146">
        <f>+[2]BS17A!$V1345</f>
        <v>38490</v>
      </c>
      <c r="F200" s="8"/>
    </row>
    <row r="201" spans="1:6" ht="24.75" customHeight="1" x14ac:dyDescent="0.2">
      <c r="A201" s="104" t="s">
        <v>297</v>
      </c>
      <c r="B201" s="166" t="s">
        <v>298</v>
      </c>
      <c r="C201" s="24">
        <f>[2]BS17A!D1032</f>
        <v>0</v>
      </c>
      <c r="D201" s="25">
        <f>[2]BS17A!U1032</f>
        <v>8100</v>
      </c>
      <c r="E201" s="146">
        <f>[2]BS17A!V1032</f>
        <v>0</v>
      </c>
      <c r="F201" s="8"/>
    </row>
    <row r="202" spans="1:6" ht="24.75" customHeight="1" x14ac:dyDescent="0.2">
      <c r="A202" s="168" t="s">
        <v>299</v>
      </c>
      <c r="B202" s="169" t="s">
        <v>300</v>
      </c>
      <c r="C202" s="88">
        <f>[2]BS17A!D803</f>
        <v>0</v>
      </c>
      <c r="D202" s="170">
        <f>[2]BS17A!U803</f>
        <v>343800</v>
      </c>
      <c r="E202" s="171">
        <f>[2]BS17A!V803</f>
        <v>0</v>
      </c>
      <c r="F202" s="8"/>
    </row>
    <row r="203" spans="1:6" ht="17.25" customHeight="1" x14ac:dyDescent="0.2">
      <c r="A203" s="130"/>
      <c r="B203" s="131" t="s">
        <v>301</v>
      </c>
      <c r="C203" s="44">
        <f>SUM(C172:C202)</f>
        <v>664</v>
      </c>
      <c r="D203" s="151"/>
      <c r="E203" s="152">
        <f>SUM(E172:E202)</f>
        <v>5015450</v>
      </c>
      <c r="F203" s="8"/>
    </row>
    <row r="204" spans="1:6" ht="21.75" customHeight="1" x14ac:dyDescent="0.2">
      <c r="A204" s="8"/>
      <c r="B204" s="8"/>
      <c r="C204" s="8"/>
      <c r="D204" s="8"/>
      <c r="E204" s="8"/>
      <c r="F204" s="8"/>
    </row>
    <row r="205" spans="1:6" ht="19.5" customHeight="1" x14ac:dyDescent="0.2">
      <c r="A205" s="8"/>
      <c r="B205" s="8"/>
      <c r="C205" s="8"/>
      <c r="D205" s="8"/>
      <c r="E205" s="8"/>
      <c r="F205" s="8"/>
    </row>
    <row r="206" spans="1:6" ht="18" customHeight="1" x14ac:dyDescent="0.2">
      <c r="A206" s="256" t="s">
        <v>302</v>
      </c>
      <c r="B206" s="252"/>
      <c r="C206" s="252"/>
      <c r="D206" s="252"/>
      <c r="E206" s="253"/>
      <c r="F206" s="5"/>
    </row>
    <row r="207" spans="1:6" ht="39.75" customHeight="1" x14ac:dyDescent="0.2">
      <c r="A207" s="11" t="s">
        <v>8</v>
      </c>
      <c r="B207" s="11" t="s">
        <v>9</v>
      </c>
      <c r="C207" s="12" t="s">
        <v>10</v>
      </c>
      <c r="D207" s="13" t="s">
        <v>11</v>
      </c>
      <c r="E207" s="14" t="s">
        <v>12</v>
      </c>
      <c r="F207" s="5"/>
    </row>
    <row r="208" spans="1:6" ht="12.75" customHeight="1" x14ac:dyDescent="0.2">
      <c r="A208" s="17" t="s">
        <v>303</v>
      </c>
      <c r="B208" s="42" t="s">
        <v>304</v>
      </c>
      <c r="C208" s="19">
        <f>+[2]BS17A!$D18</f>
        <v>0</v>
      </c>
      <c r="D208" s="37">
        <f>+[2]BS17A!$U18</f>
        <v>12540</v>
      </c>
      <c r="E208" s="145">
        <f>+[2]BS17A!$V18</f>
        <v>0</v>
      </c>
      <c r="F208" s="8"/>
    </row>
    <row r="209" spans="1:6" ht="12.75" customHeight="1" x14ac:dyDescent="0.2">
      <c r="A209" s="22" t="s">
        <v>305</v>
      </c>
      <c r="B209" s="23" t="s">
        <v>306</v>
      </c>
      <c r="C209" s="24">
        <f>+[2]BS17A!$D19</f>
        <v>204</v>
      </c>
      <c r="D209" s="25">
        <f>+[2]BS17A!$U19</f>
        <v>12540</v>
      </c>
      <c r="E209" s="146">
        <f>+[2]BS17A!$V19</f>
        <v>2558160</v>
      </c>
      <c r="F209" s="8"/>
    </row>
    <row r="210" spans="1:6" ht="12.75" customHeight="1" x14ac:dyDescent="0.2">
      <c r="A210" s="22" t="s">
        <v>307</v>
      </c>
      <c r="B210" s="28" t="s">
        <v>308</v>
      </c>
      <c r="C210" s="24">
        <f>+[2]BS17A!$D47</f>
        <v>0</v>
      </c>
      <c r="D210" s="25">
        <f>+[2]BS17A!$U47</f>
        <v>1200</v>
      </c>
      <c r="E210" s="146">
        <f>+[2]BS17A!$V47</f>
        <v>0</v>
      </c>
      <c r="F210" s="8"/>
    </row>
    <row r="211" spans="1:6" ht="12.75" customHeight="1" x14ac:dyDescent="0.2">
      <c r="A211" s="22" t="s">
        <v>309</v>
      </c>
      <c r="B211" s="28" t="s">
        <v>310</v>
      </c>
      <c r="C211" s="24">
        <f>+[2]BS17A!$D48</f>
        <v>299</v>
      </c>
      <c r="D211" s="25">
        <f>+[2]BS17A!$U48</f>
        <v>580</v>
      </c>
      <c r="E211" s="146">
        <f>+[2]BS17A!$V48</f>
        <v>173420</v>
      </c>
      <c r="F211" s="8"/>
    </row>
    <row r="212" spans="1:6" ht="12.75" customHeight="1" x14ac:dyDescent="0.2">
      <c r="A212" s="22" t="s">
        <v>311</v>
      </c>
      <c r="B212" s="23" t="s">
        <v>312</v>
      </c>
      <c r="C212" s="24">
        <f>+[2]BS17A!$D49</f>
        <v>725</v>
      </c>
      <c r="D212" s="25">
        <f>+[2]BS17A!$U49</f>
        <v>1780</v>
      </c>
      <c r="E212" s="146">
        <f>+[2]BS17A!$V49</f>
        <v>1290500</v>
      </c>
      <c r="F212" s="8"/>
    </row>
    <row r="213" spans="1:6" ht="12.75" customHeight="1" x14ac:dyDescent="0.2">
      <c r="A213" s="22" t="s">
        <v>313</v>
      </c>
      <c r="B213" s="23" t="s">
        <v>314</v>
      </c>
      <c r="C213" s="24">
        <f>+[2]BS17A!$D50</f>
        <v>40</v>
      </c>
      <c r="D213" s="25">
        <f>+[2]BS17A!$U50</f>
        <v>13350</v>
      </c>
      <c r="E213" s="146">
        <f>+[2]BS17A!$V50</f>
        <v>534000</v>
      </c>
      <c r="F213" s="8"/>
    </row>
    <row r="214" spans="1:6" ht="12.75" customHeight="1" x14ac:dyDescent="0.2">
      <c r="A214" s="22" t="s">
        <v>315</v>
      </c>
      <c r="B214" s="28" t="s">
        <v>316</v>
      </c>
      <c r="C214" s="24">
        <f>+[2]BS17A!$D51</f>
        <v>90</v>
      </c>
      <c r="D214" s="25">
        <f>+[2]BS17A!$U51</f>
        <v>30660</v>
      </c>
      <c r="E214" s="146">
        <f>+[2]BS17A!$V51</f>
        <v>2759400</v>
      </c>
      <c r="F214" s="8"/>
    </row>
    <row r="215" spans="1:6" ht="12.75" customHeight="1" x14ac:dyDescent="0.2">
      <c r="A215" s="104" t="s">
        <v>317</v>
      </c>
      <c r="B215" s="28" t="s">
        <v>318</v>
      </c>
      <c r="C215" s="24">
        <f>+[2]BS17A!D52</f>
        <v>16</v>
      </c>
      <c r="D215" s="172"/>
      <c r="E215" s="146">
        <f>+[2]BS17A!V52</f>
        <v>122400</v>
      </c>
      <c r="F215" s="8"/>
    </row>
    <row r="216" spans="1:6" ht="12.75" customHeight="1" x14ac:dyDescent="0.2">
      <c r="A216" s="29" t="s">
        <v>319</v>
      </c>
      <c r="B216" s="43" t="s">
        <v>320</v>
      </c>
      <c r="C216" s="31">
        <f>+[2]BS17A!$D1849</f>
        <v>56</v>
      </c>
      <c r="D216" s="40">
        <f>+[2]BS17A!$U1849</f>
        <v>24850</v>
      </c>
      <c r="E216" s="153">
        <f>+[2]BS17A!$V1849</f>
        <v>1391600</v>
      </c>
      <c r="F216" s="8"/>
    </row>
    <row r="217" spans="1:6" ht="12.75" x14ac:dyDescent="0.2">
      <c r="A217" s="130"/>
      <c r="B217" s="131" t="s">
        <v>321</v>
      </c>
      <c r="C217" s="44">
        <f>SUM(C208:C216)</f>
        <v>1430</v>
      </c>
      <c r="D217" s="151"/>
      <c r="E217" s="171">
        <f>SUM(E208:E216)</f>
        <v>8829480</v>
      </c>
      <c r="F217" s="8"/>
    </row>
    <row r="218" spans="1:6" ht="17.25" customHeight="1" x14ac:dyDescent="0.2">
      <c r="A218" s="8"/>
      <c r="B218" s="8"/>
      <c r="C218" s="8"/>
      <c r="D218" s="8"/>
      <c r="E218" s="8"/>
      <c r="F218" s="8"/>
    </row>
    <row r="219" spans="1:6" ht="18" customHeight="1" x14ac:dyDescent="0.2">
      <c r="A219" s="8"/>
      <c r="B219" s="8"/>
      <c r="C219" s="8"/>
      <c r="D219" s="8"/>
      <c r="E219" s="8"/>
      <c r="F219" s="8"/>
    </row>
    <row r="220" spans="1:6" ht="27.75" customHeight="1" x14ac:dyDescent="0.2">
      <c r="A220" s="257" t="s">
        <v>322</v>
      </c>
      <c r="B220" s="258"/>
      <c r="C220" s="259"/>
      <c r="D220" s="8"/>
      <c r="E220" s="8"/>
      <c r="F220" s="5"/>
    </row>
    <row r="221" spans="1:6" ht="36.75" customHeight="1" x14ac:dyDescent="0.2">
      <c r="A221" s="11" t="s">
        <v>8</v>
      </c>
      <c r="B221" s="11" t="s">
        <v>10</v>
      </c>
      <c r="C221" s="11" t="s">
        <v>12</v>
      </c>
      <c r="D221" s="5"/>
      <c r="E221" s="8"/>
      <c r="F221" s="8"/>
    </row>
    <row r="222" spans="1:6" ht="15" customHeight="1" x14ac:dyDescent="0.2">
      <c r="A222" s="17" t="s">
        <v>323</v>
      </c>
      <c r="B222" s="173" t="s">
        <v>324</v>
      </c>
      <c r="C222" s="174"/>
      <c r="D222" s="175"/>
      <c r="E222" s="8"/>
      <c r="F222" s="8"/>
    </row>
    <row r="223" spans="1:6" ht="15" customHeight="1" x14ac:dyDescent="0.2">
      <c r="A223" s="176" t="s">
        <v>325</v>
      </c>
      <c r="B223" s="177" t="s">
        <v>326</v>
      </c>
      <c r="C223" s="178"/>
      <c r="D223" s="175"/>
      <c r="E223" s="8"/>
      <c r="F223" s="8"/>
    </row>
    <row r="224" spans="1:6" ht="18" customHeight="1" x14ac:dyDescent="0.2">
      <c r="A224" s="179"/>
      <c r="B224" s="180" t="s">
        <v>327</v>
      </c>
      <c r="C224" s="181">
        <f>SUM(C222:C223)</f>
        <v>0</v>
      </c>
      <c r="D224" s="175"/>
      <c r="E224" s="8"/>
      <c r="F224" s="8"/>
    </row>
    <row r="225" spans="1:7" ht="18" customHeight="1" x14ac:dyDescent="0.2">
      <c r="A225" s="8"/>
      <c r="B225" s="8"/>
      <c r="C225" s="8"/>
      <c r="D225" s="175"/>
      <c r="E225" s="175"/>
      <c r="F225" s="175"/>
    </row>
    <row r="226" spans="1:7" ht="18" customHeight="1" x14ac:dyDescent="0.2">
      <c r="A226" s="8"/>
      <c r="B226" s="8"/>
      <c r="C226" s="8"/>
      <c r="D226" s="8"/>
      <c r="E226" s="8"/>
      <c r="F226" s="175"/>
      <c r="G226" s="182"/>
    </row>
    <row r="227" spans="1:7" ht="18" customHeight="1" x14ac:dyDescent="0.2">
      <c r="A227" s="256" t="s">
        <v>328</v>
      </c>
      <c r="B227" s="252"/>
      <c r="C227" s="252"/>
      <c r="D227" s="252"/>
      <c r="E227" s="253"/>
      <c r="F227" s="175"/>
      <c r="G227" s="182"/>
    </row>
    <row r="228" spans="1:7" ht="64.5" customHeight="1" x14ac:dyDescent="0.2">
      <c r="A228" s="11" t="s">
        <v>8</v>
      </c>
      <c r="B228" s="11" t="s">
        <v>9</v>
      </c>
      <c r="C228" s="12" t="s">
        <v>10</v>
      </c>
      <c r="D228" s="13" t="s">
        <v>11</v>
      </c>
      <c r="E228" s="14" t="s">
        <v>12</v>
      </c>
      <c r="F228" s="175"/>
      <c r="G228" s="182"/>
    </row>
    <row r="229" spans="1:7" ht="15" customHeight="1" x14ac:dyDescent="0.2">
      <c r="A229" s="17" t="s">
        <v>329</v>
      </c>
      <c r="B229" s="42" t="s">
        <v>330</v>
      </c>
      <c r="C229" s="154">
        <f>+[2]BS17A!$D1920</f>
        <v>250</v>
      </c>
      <c r="D229" s="37">
        <f>+[2]BS17A!$U1920</f>
        <v>17150</v>
      </c>
      <c r="E229" s="145">
        <f>+[2]BS17A!$V1920</f>
        <v>4287500</v>
      </c>
      <c r="F229" s="8"/>
    </row>
    <row r="230" spans="1:7" ht="15" customHeight="1" x14ac:dyDescent="0.2">
      <c r="A230" s="29" t="s">
        <v>331</v>
      </c>
      <c r="B230" s="43" t="s">
        <v>332</v>
      </c>
      <c r="C230" s="158">
        <f>+[2]BS17A!$D1921</f>
        <v>0</v>
      </c>
      <c r="D230" s="40">
        <f>+[2]BS17A!$U1921</f>
        <v>215070</v>
      </c>
      <c r="E230" s="153">
        <f>+[2]BS17A!$V1921</f>
        <v>0</v>
      </c>
      <c r="F230" s="8"/>
    </row>
    <row r="231" spans="1:7" ht="18" customHeight="1" x14ac:dyDescent="0.2">
      <c r="A231" s="130"/>
      <c r="B231" s="131" t="s">
        <v>333</v>
      </c>
      <c r="C231" s="44">
        <f>SUM(C229:C230)</f>
        <v>250</v>
      </c>
      <c r="D231" s="151"/>
      <c r="E231" s="152">
        <f>SUM(E229:E230)</f>
        <v>4287500</v>
      </c>
      <c r="F231" s="8"/>
    </row>
    <row r="232" spans="1:7" ht="18" customHeight="1" x14ac:dyDescent="0.2">
      <c r="A232" s="183"/>
      <c r="B232" s="184"/>
      <c r="C232" s="185"/>
      <c r="D232" s="183"/>
      <c r="E232" s="183"/>
      <c r="F232" s="8"/>
    </row>
    <row r="233" spans="1:7" ht="18" customHeight="1" x14ac:dyDescent="0.2">
      <c r="A233" s="183"/>
      <c r="B233" s="184"/>
      <c r="C233" s="185"/>
      <c r="D233" s="183"/>
      <c r="E233" s="183"/>
      <c r="F233" s="8"/>
    </row>
    <row r="234" spans="1:7" ht="18" customHeight="1" x14ac:dyDescent="0.2">
      <c r="A234" s="251" t="s">
        <v>334</v>
      </c>
      <c r="B234" s="252"/>
      <c r="C234" s="252"/>
      <c r="D234" s="252"/>
      <c r="E234" s="253"/>
      <c r="F234" s="8"/>
    </row>
    <row r="235" spans="1:7" ht="38.25" x14ac:dyDescent="0.2">
      <c r="A235" s="11" t="s">
        <v>8</v>
      </c>
      <c r="B235" s="11" t="s">
        <v>9</v>
      </c>
      <c r="C235" s="12" t="s">
        <v>10</v>
      </c>
      <c r="D235" s="13" t="s">
        <v>11</v>
      </c>
      <c r="E235" s="14" t="s">
        <v>12</v>
      </c>
      <c r="F235" s="8"/>
    </row>
    <row r="236" spans="1:7" ht="18" customHeight="1" x14ac:dyDescent="0.2">
      <c r="A236" s="142" t="s">
        <v>335</v>
      </c>
      <c r="B236" s="186" t="s">
        <v>336</v>
      </c>
      <c r="C236" s="187">
        <f>[2]BS17A!D764</f>
        <v>415</v>
      </c>
      <c r="D236" s="188"/>
      <c r="E236" s="189">
        <f>[2]BS17A!V764</f>
        <v>2478950</v>
      </c>
      <c r="F236" s="8"/>
    </row>
    <row r="237" spans="1:7" ht="18" customHeight="1" x14ac:dyDescent="0.2">
      <c r="A237" s="183"/>
      <c r="B237" s="184"/>
      <c r="C237" s="185"/>
      <c r="D237" s="183"/>
      <c r="E237" s="183"/>
      <c r="F237" s="8"/>
    </row>
    <row r="238" spans="1:7" ht="18" customHeight="1" x14ac:dyDescent="0.2">
      <c r="A238" s="251" t="s">
        <v>337</v>
      </c>
      <c r="B238" s="254"/>
      <c r="C238" s="254"/>
      <c r="D238" s="254"/>
      <c r="E238" s="255"/>
      <c r="F238" s="8"/>
    </row>
    <row r="239" spans="1:7" ht="41.25" customHeight="1" x14ac:dyDescent="0.2">
      <c r="A239" s="11" t="s">
        <v>8</v>
      </c>
      <c r="B239" s="12" t="s">
        <v>338</v>
      </c>
      <c r="C239" s="100" t="s">
        <v>339</v>
      </c>
      <c r="D239" s="13" t="s">
        <v>11</v>
      </c>
      <c r="E239" s="14" t="s">
        <v>12</v>
      </c>
      <c r="F239" s="8"/>
    </row>
    <row r="240" spans="1:7" ht="15" customHeight="1" x14ac:dyDescent="0.2">
      <c r="A240" s="190" t="s">
        <v>340</v>
      </c>
      <c r="B240" s="191" t="s">
        <v>341</v>
      </c>
      <c r="C240" s="19">
        <f>+[2]BS17A!$D1923</f>
        <v>0</v>
      </c>
      <c r="D240" s="37">
        <f>+[2]BS17A!$U1923</f>
        <v>219670</v>
      </c>
      <c r="E240" s="145">
        <f>+[2]BS17A!$V1923</f>
        <v>0</v>
      </c>
      <c r="F240" s="8"/>
    </row>
    <row r="241" spans="1:6" ht="15" customHeight="1" x14ac:dyDescent="0.2">
      <c r="A241" s="192" t="s">
        <v>342</v>
      </c>
      <c r="B241" s="193" t="s">
        <v>343</v>
      </c>
      <c r="C241" s="24">
        <f>+[2]BS17A!$D1924</f>
        <v>0</v>
      </c>
      <c r="D241" s="25">
        <f>+[2]BS17A!$U1924</f>
        <v>31220</v>
      </c>
      <c r="E241" s="146">
        <f>+[2]BS17A!$V1924</f>
        <v>0</v>
      </c>
      <c r="F241" s="8"/>
    </row>
    <row r="242" spans="1:6" ht="15" customHeight="1" x14ac:dyDescent="0.2">
      <c r="A242" s="192" t="s">
        <v>344</v>
      </c>
      <c r="B242" s="193" t="s">
        <v>345</v>
      </c>
      <c r="C242" s="24">
        <f>+[2]BS17A!$D1925</f>
        <v>0</v>
      </c>
      <c r="D242" s="25">
        <f>+[2]BS17A!$U1925</f>
        <v>117730</v>
      </c>
      <c r="E242" s="146">
        <f>+[2]BS17A!$V1925</f>
        <v>0</v>
      </c>
      <c r="F242" s="8"/>
    </row>
    <row r="243" spans="1:6" ht="15" customHeight="1" x14ac:dyDescent="0.2">
      <c r="A243" s="192" t="s">
        <v>346</v>
      </c>
      <c r="B243" s="193" t="s">
        <v>347</v>
      </c>
      <c r="C243" s="24">
        <f>+[2]BS17A!$D1926</f>
        <v>0</v>
      </c>
      <c r="D243" s="25">
        <f>+[2]BS17A!$U1926</f>
        <v>117730</v>
      </c>
      <c r="E243" s="146">
        <f>+[2]BS17A!$V1926</f>
        <v>0</v>
      </c>
      <c r="F243" s="8"/>
    </row>
    <row r="244" spans="1:6" ht="15" customHeight="1" x14ac:dyDescent="0.2">
      <c r="A244" s="192" t="s">
        <v>348</v>
      </c>
      <c r="B244" s="193" t="s">
        <v>349</v>
      </c>
      <c r="C244" s="24">
        <f>+[2]BS17A!$D1927</f>
        <v>0</v>
      </c>
      <c r="D244" s="25">
        <f>+[2]BS17A!$U1927</f>
        <v>214360</v>
      </c>
      <c r="E244" s="146">
        <f>+[2]BS17A!$V1927</f>
        <v>0</v>
      </c>
      <c r="F244" s="8"/>
    </row>
    <row r="245" spans="1:6" ht="15" customHeight="1" x14ac:dyDescent="0.2">
      <c r="A245" s="192" t="s">
        <v>350</v>
      </c>
      <c r="B245" s="193" t="s">
        <v>351</v>
      </c>
      <c r="C245" s="24">
        <f>+[2]BS17A!$D1928</f>
        <v>0</v>
      </c>
      <c r="D245" s="25">
        <f>+[2]BS17A!$U1928</f>
        <v>328960</v>
      </c>
      <c r="E245" s="146">
        <f>+[2]BS17A!$V1928</f>
        <v>0</v>
      </c>
      <c r="F245" s="8"/>
    </row>
    <row r="246" spans="1:6" ht="15" customHeight="1" x14ac:dyDescent="0.2">
      <c r="A246" s="192" t="s">
        <v>352</v>
      </c>
      <c r="B246" s="193" t="s">
        <v>353</v>
      </c>
      <c r="C246" s="24">
        <f>+[2]BS17A!$D1929</f>
        <v>0</v>
      </c>
      <c r="D246" s="25">
        <f>+[2]BS17A!$U1929</f>
        <v>561180</v>
      </c>
      <c r="E246" s="146">
        <f>+[2]BS17A!$V1929</f>
        <v>0</v>
      </c>
      <c r="F246" s="8"/>
    </row>
    <row r="247" spans="1:6" ht="15" customHeight="1" x14ac:dyDescent="0.2">
      <c r="A247" s="194" t="s">
        <v>354</v>
      </c>
      <c r="B247" s="193" t="s">
        <v>355</v>
      </c>
      <c r="C247" s="24">
        <f>+[2]BS17A!$D1930</f>
        <v>0</v>
      </c>
      <c r="D247" s="25">
        <f>+[2]BS17A!$U1930</f>
        <v>116880</v>
      </c>
      <c r="E247" s="146">
        <f>+[2]BS17A!$V1930</f>
        <v>0</v>
      </c>
      <c r="F247" s="8"/>
    </row>
    <row r="248" spans="1:6" ht="15" customHeight="1" x14ac:dyDescent="0.2">
      <c r="A248" s="194" t="s">
        <v>356</v>
      </c>
      <c r="B248" s="193" t="s">
        <v>357</v>
      </c>
      <c r="C248" s="24">
        <f>+[2]BS17A!$D1931</f>
        <v>0</v>
      </c>
      <c r="D248" s="25">
        <f>+[2]BS17A!$U1931</f>
        <v>315020</v>
      </c>
      <c r="E248" s="146">
        <f>+[2]BS17A!$V1931</f>
        <v>0</v>
      </c>
      <c r="F248" s="8"/>
    </row>
    <row r="249" spans="1:6" ht="15" customHeight="1" x14ac:dyDescent="0.2">
      <c r="A249" s="194" t="s">
        <v>358</v>
      </c>
      <c r="B249" s="193" t="s">
        <v>359</v>
      </c>
      <c r="C249" s="66">
        <f>+[2]BS17A!$D1932</f>
        <v>0</v>
      </c>
      <c r="D249" s="32">
        <f>+[2]BS17A!$U1932</f>
        <v>132640</v>
      </c>
      <c r="E249" s="195">
        <f>+[2]BS17A!$V1932</f>
        <v>0</v>
      </c>
      <c r="F249" s="8"/>
    </row>
    <row r="250" spans="1:6" ht="15" customHeight="1" x14ac:dyDescent="0.2">
      <c r="A250" s="194" t="s">
        <v>360</v>
      </c>
      <c r="B250" s="193" t="s">
        <v>361</v>
      </c>
      <c r="C250" s="66">
        <f>+[2]BS17A!$D1933</f>
        <v>0</v>
      </c>
      <c r="D250" s="32">
        <f>+[2]BS17A!$U1933</f>
        <v>115270</v>
      </c>
      <c r="E250" s="195">
        <f>+[2]BS17A!$V1933</f>
        <v>0</v>
      </c>
      <c r="F250" s="8"/>
    </row>
    <row r="251" spans="1:6" ht="15" customHeight="1" x14ac:dyDescent="0.2">
      <c r="A251" s="194" t="s">
        <v>362</v>
      </c>
      <c r="B251" s="193" t="s">
        <v>363</v>
      </c>
      <c r="C251" s="66">
        <f>+[2]BS17A!$D1934</f>
        <v>0</v>
      </c>
      <c r="D251" s="32">
        <f>+[2]BS17A!$U1934</f>
        <v>175240</v>
      </c>
      <c r="E251" s="195">
        <f>+[2]BS17A!$V1934</f>
        <v>0</v>
      </c>
      <c r="F251" s="8"/>
    </row>
    <row r="252" spans="1:6" ht="15" customHeight="1" x14ac:dyDescent="0.2">
      <c r="A252" s="194" t="s">
        <v>364</v>
      </c>
      <c r="B252" s="193" t="s">
        <v>365</v>
      </c>
      <c r="C252" s="66">
        <f>+[2]BS17A!$D1935</f>
        <v>0</v>
      </c>
      <c r="D252" s="32">
        <f>+[2]BS17A!$U1935</f>
        <v>46120</v>
      </c>
      <c r="E252" s="195">
        <f>+[2]BS17A!$V1935</f>
        <v>0</v>
      </c>
      <c r="F252" s="8"/>
    </row>
    <row r="253" spans="1:6" ht="15" customHeight="1" x14ac:dyDescent="0.2">
      <c r="A253" s="196" t="s">
        <v>366</v>
      </c>
      <c r="B253" s="197" t="s">
        <v>367</v>
      </c>
      <c r="C253" s="31">
        <f>+[2]BS17A!$D1936</f>
        <v>0</v>
      </c>
      <c r="D253" s="40">
        <f>+[2]BS17A!$U1936</f>
        <v>34460</v>
      </c>
      <c r="E253" s="153">
        <f>+[2]BS17A!$V1936</f>
        <v>0</v>
      </c>
      <c r="F253" s="8"/>
    </row>
    <row r="254" spans="1:6" ht="15" customHeight="1" x14ac:dyDescent="0.2">
      <c r="A254" s="242" t="s">
        <v>368</v>
      </c>
      <c r="B254" s="243"/>
      <c r="C254" s="243"/>
      <c r="D254" s="243"/>
      <c r="E254" s="244"/>
      <c r="F254" s="8"/>
    </row>
    <row r="255" spans="1:6" ht="15" customHeight="1" x14ac:dyDescent="0.2">
      <c r="A255" s="17" t="s">
        <v>369</v>
      </c>
      <c r="B255" s="198" t="s">
        <v>341</v>
      </c>
      <c r="C255" s="19">
        <f>+[2]BS17A!$D1937</f>
        <v>0</v>
      </c>
      <c r="D255" s="37">
        <f>+[2]BS17A!$U1937</f>
        <v>188970</v>
      </c>
      <c r="E255" s="145">
        <f>+[2]BS17A!$V1937</f>
        <v>0</v>
      </c>
      <c r="F255" s="8"/>
    </row>
    <row r="256" spans="1:6" ht="15" customHeight="1" x14ac:dyDescent="0.2">
      <c r="A256" s="22" t="s">
        <v>370</v>
      </c>
      <c r="B256" s="34" t="s">
        <v>371</v>
      </c>
      <c r="C256" s="24">
        <f>+[2]BS17A!$D1938</f>
        <v>0</v>
      </c>
      <c r="D256" s="25">
        <f>+[2]BS17A!$U1938</f>
        <v>1124200</v>
      </c>
      <c r="E256" s="146">
        <f>+[2]BS17A!$V1938</f>
        <v>0</v>
      </c>
      <c r="F256" s="8"/>
    </row>
    <row r="257" spans="1:6" ht="15" customHeight="1" x14ac:dyDescent="0.2">
      <c r="A257" s="22" t="s">
        <v>372</v>
      </c>
      <c r="B257" s="34" t="s">
        <v>373</v>
      </c>
      <c r="C257" s="24">
        <f>+[2]BS17A!$D1939</f>
        <v>0</v>
      </c>
      <c r="D257" s="25">
        <f>+[2]BS17A!$U1939</f>
        <v>169610</v>
      </c>
      <c r="E257" s="146">
        <f>+[2]BS17A!$V1939</f>
        <v>0</v>
      </c>
      <c r="F257" s="8"/>
    </row>
    <row r="258" spans="1:6" ht="15" customHeight="1" x14ac:dyDescent="0.2">
      <c r="A258" s="22" t="s">
        <v>374</v>
      </c>
      <c r="B258" s="34" t="s">
        <v>375</v>
      </c>
      <c r="C258" s="24">
        <f>+[2]BS17A!$D1940</f>
        <v>0</v>
      </c>
      <c r="D258" s="25">
        <f>+[2]BS17A!$U1940</f>
        <v>149990</v>
      </c>
      <c r="E258" s="146">
        <f>+[2]BS17A!$V1940</f>
        <v>0</v>
      </c>
      <c r="F258" s="8"/>
    </row>
    <row r="259" spans="1:6" ht="15" customHeight="1" x14ac:dyDescent="0.2">
      <c r="A259" s="22" t="s">
        <v>376</v>
      </c>
      <c r="B259" s="34" t="s">
        <v>377</v>
      </c>
      <c r="C259" s="24">
        <f>+[2]BS17A!$D1941</f>
        <v>0</v>
      </c>
      <c r="D259" s="25">
        <f>+[2]BS17A!$U1941</f>
        <v>304480</v>
      </c>
      <c r="E259" s="146">
        <f>+[2]BS17A!$V1941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24">
        <f>+[2]BS17A!$D1942</f>
        <v>0</v>
      </c>
      <c r="D260" s="25">
        <f>+[2]BS17A!$U1942</f>
        <v>1012520</v>
      </c>
      <c r="E260" s="146">
        <f>+[2]BS17A!$V1942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24">
        <f>+[2]BS17A!$D1943</f>
        <v>0</v>
      </c>
      <c r="D261" s="25">
        <f>+[2]BS17A!$U1943</f>
        <v>1040530</v>
      </c>
      <c r="E261" s="146">
        <f>+[2]BS17A!$V1943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24">
        <f>+[2]BS17A!$D1944</f>
        <v>0</v>
      </c>
      <c r="D262" s="25">
        <f>+[2]BS17A!$U1944</f>
        <v>823870</v>
      </c>
      <c r="E262" s="146">
        <f>+[2]BS17A!$V1944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24">
        <f>+[2]BS17A!$D1945</f>
        <v>0</v>
      </c>
      <c r="D263" s="25">
        <f>+[2]BS17A!$U1945</f>
        <v>868290</v>
      </c>
      <c r="E263" s="146">
        <f>+[2]BS17A!$V1945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24">
        <f>+[2]BS17A!$D1946</f>
        <v>0</v>
      </c>
      <c r="D264" s="25">
        <f>+[2]BS17A!$U1946</f>
        <v>342530</v>
      </c>
      <c r="E264" s="146">
        <f>+[2]BS17A!$V1946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24">
        <f>+[2]BS17A!$D1947</f>
        <v>0</v>
      </c>
      <c r="D265" s="25">
        <f>+[2]BS17A!$U1947</f>
        <v>82030</v>
      </c>
      <c r="E265" s="146">
        <f>+[2]BS17A!$V1947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24">
        <f>+[2]BS17A!$D1948</f>
        <v>0</v>
      </c>
      <c r="D266" s="25">
        <f>+[2]BS17A!$U1948</f>
        <v>244730</v>
      </c>
      <c r="E266" s="146">
        <f>+[2]BS17A!$V1948</f>
        <v>0</v>
      </c>
      <c r="F266" s="8"/>
    </row>
    <row r="267" spans="1:6" ht="15" customHeight="1" x14ac:dyDescent="0.2">
      <c r="A267" s="22" t="s">
        <v>392</v>
      </c>
      <c r="B267" s="23" t="s">
        <v>393</v>
      </c>
      <c r="C267" s="24">
        <f>+[2]BS17A!$D1949</f>
        <v>0</v>
      </c>
      <c r="D267" s="25">
        <f>+[2]BS17A!$U1949</f>
        <v>69200</v>
      </c>
      <c r="E267" s="146">
        <f>+[2]BS17A!$V1949</f>
        <v>0</v>
      </c>
      <c r="F267" s="8"/>
    </row>
    <row r="268" spans="1:6" ht="15" customHeight="1" x14ac:dyDescent="0.2">
      <c r="A268" s="22" t="s">
        <v>394</v>
      </c>
      <c r="B268" s="23" t="s">
        <v>395</v>
      </c>
      <c r="C268" s="24">
        <f>+[2]BS17A!$D1950</f>
        <v>0</v>
      </c>
      <c r="D268" s="25">
        <f>+[2]BS17A!$U1950</f>
        <v>1189020</v>
      </c>
      <c r="E268" s="146">
        <f>+[2]BS17A!$V1950</f>
        <v>0</v>
      </c>
      <c r="F268" s="8"/>
    </row>
    <row r="269" spans="1:6" ht="15" customHeight="1" x14ac:dyDescent="0.2">
      <c r="A269" s="22" t="s">
        <v>396</v>
      </c>
      <c r="B269" s="23" t="s">
        <v>397</v>
      </c>
      <c r="C269" s="24">
        <f>+[2]BS17A!$D1951</f>
        <v>0</v>
      </c>
      <c r="D269" s="25">
        <f>+[2]BS17A!$U1951</f>
        <v>278030</v>
      </c>
      <c r="E269" s="146">
        <f>+[2]BS17A!$V1951</f>
        <v>0</v>
      </c>
      <c r="F269" s="8"/>
    </row>
    <row r="270" spans="1:6" ht="15" customHeight="1" x14ac:dyDescent="0.2">
      <c r="A270" s="22" t="s">
        <v>398</v>
      </c>
      <c r="B270" s="23" t="s">
        <v>399</v>
      </c>
      <c r="C270" s="24">
        <f>+[2]BS17A!$D1952</f>
        <v>0</v>
      </c>
      <c r="D270" s="25">
        <f>+[2]BS17A!$U1952</f>
        <v>931380</v>
      </c>
      <c r="E270" s="146">
        <f>+[2]BS17A!$V1952</f>
        <v>0</v>
      </c>
      <c r="F270" s="8"/>
    </row>
    <row r="271" spans="1:6" ht="15" customHeight="1" x14ac:dyDescent="0.2">
      <c r="A271" s="22" t="s">
        <v>400</v>
      </c>
      <c r="B271" s="30" t="s">
        <v>401</v>
      </c>
      <c r="C271" s="24">
        <f>+[2]BS17A!$D1953</f>
        <v>0</v>
      </c>
      <c r="D271" s="25">
        <f>+[2]BS17A!$U1953</f>
        <v>570190</v>
      </c>
      <c r="E271" s="146">
        <f>+[2]BS17A!$V1953</f>
        <v>0</v>
      </c>
      <c r="F271" s="8"/>
    </row>
    <row r="272" spans="1:6" ht="15" customHeight="1" x14ac:dyDescent="0.2">
      <c r="A272" s="29" t="s">
        <v>402</v>
      </c>
      <c r="B272" s="30" t="s">
        <v>403</v>
      </c>
      <c r="C272" s="31">
        <f>+[2]BS17A!$D1954</f>
        <v>0</v>
      </c>
      <c r="D272" s="32">
        <f>+[2]BS17A!$U1954</f>
        <v>465310</v>
      </c>
      <c r="E272" s="195">
        <f>+[2]BS17A!$V1954</f>
        <v>0</v>
      </c>
      <c r="F272" s="8"/>
    </row>
    <row r="273" spans="1:10" ht="15" customHeight="1" x14ac:dyDescent="0.2">
      <c r="A273" s="242" t="s">
        <v>404</v>
      </c>
      <c r="B273" s="243"/>
      <c r="C273" s="243"/>
      <c r="D273" s="243"/>
      <c r="E273" s="244"/>
      <c r="F273" s="8"/>
    </row>
    <row r="274" spans="1:10" ht="15" customHeight="1" x14ac:dyDescent="0.2">
      <c r="A274" s="17" t="s">
        <v>405</v>
      </c>
      <c r="B274" s="18" t="s">
        <v>406</v>
      </c>
      <c r="C274" s="70">
        <f>+[2]BS17A!$D1955</f>
        <v>0</v>
      </c>
      <c r="D274" s="20">
        <f>[2]BS17A!U1955</f>
        <v>250830</v>
      </c>
      <c r="E274" s="199">
        <f>+[2]BS17A!$V1955</f>
        <v>0</v>
      </c>
      <c r="F274" s="8"/>
    </row>
    <row r="275" spans="1:10" ht="15" customHeight="1" x14ac:dyDescent="0.2">
      <c r="A275" s="22" t="s">
        <v>407</v>
      </c>
      <c r="B275" s="23" t="s">
        <v>408</v>
      </c>
      <c r="C275" s="24">
        <f>+[2]BS17A!$D1956</f>
        <v>0</v>
      </c>
      <c r="D275" s="25">
        <f>[2]BS17A!U1956</f>
        <v>146240</v>
      </c>
      <c r="E275" s="146">
        <f>+[2]BS17A!$V1956</f>
        <v>0</v>
      </c>
      <c r="F275" s="8"/>
    </row>
    <row r="276" spans="1:10" ht="15" customHeight="1" x14ac:dyDescent="0.2">
      <c r="A276" s="22" t="s">
        <v>409</v>
      </c>
      <c r="B276" s="23" t="s">
        <v>410</v>
      </c>
      <c r="C276" s="24">
        <f>+[2]BS17A!$D1957</f>
        <v>0</v>
      </c>
      <c r="D276" s="25">
        <f>[2]BS17A!U1957</f>
        <v>353360</v>
      </c>
      <c r="E276" s="146">
        <f>+[2]BS17A!$V1957</f>
        <v>0</v>
      </c>
      <c r="F276" s="8"/>
    </row>
    <row r="277" spans="1:10" ht="15" customHeight="1" x14ac:dyDescent="0.2">
      <c r="A277" s="22" t="s">
        <v>411</v>
      </c>
      <c r="B277" s="23" t="s">
        <v>412</v>
      </c>
      <c r="C277" s="24">
        <f>+[2]BS17A!$D1958</f>
        <v>0</v>
      </c>
      <c r="D277" s="25">
        <f>[2]BS17A!U1958</f>
        <v>366190</v>
      </c>
      <c r="E277" s="146">
        <f>+[2]BS17A!$V1958</f>
        <v>0</v>
      </c>
      <c r="F277" s="8"/>
    </row>
    <row r="278" spans="1:10" ht="15" customHeight="1" x14ac:dyDescent="0.2">
      <c r="A278" s="29" t="s">
        <v>413</v>
      </c>
      <c r="B278" s="39" t="s">
        <v>414</v>
      </c>
      <c r="C278" s="31">
        <f>+[2]BS17A!$D1959</f>
        <v>0</v>
      </c>
      <c r="D278" s="40">
        <f>[2]BS17A!U1959</f>
        <v>228810</v>
      </c>
      <c r="E278" s="153">
        <f>+[2]BS17A!$V1959</f>
        <v>0</v>
      </c>
      <c r="F278" s="200"/>
    </row>
    <row r="279" spans="1:10" ht="15" customHeight="1" x14ac:dyDescent="0.2">
      <c r="A279" s="201" t="s">
        <v>415</v>
      </c>
      <c r="B279" s="202" t="s">
        <v>416</v>
      </c>
      <c r="C279" s="203">
        <f>+[2]BS17A!$D1960</f>
        <v>86</v>
      </c>
      <c r="D279" s="204">
        <f>[2]BS17A!U1960</f>
        <v>31110</v>
      </c>
      <c r="E279" s="189">
        <f>+[2]BS17A!$V1960</f>
        <v>2675460</v>
      </c>
      <c r="F279" s="200"/>
    </row>
    <row r="280" spans="1:10" ht="15" customHeight="1" x14ac:dyDescent="0.2">
      <c r="A280" s="130"/>
      <c r="B280" s="205" t="s">
        <v>417</v>
      </c>
      <c r="C280" s="44">
        <f>SUM(C240:C279)</f>
        <v>86</v>
      </c>
      <c r="D280" s="151"/>
      <c r="E280" s="152">
        <f>SUM(E240:E279)</f>
        <v>2675460</v>
      </c>
      <c r="F280" s="200"/>
    </row>
    <row r="281" spans="1:10" ht="18" customHeight="1" x14ac:dyDescent="0.2">
      <c r="A281" s="183"/>
      <c r="B281" s="8"/>
      <c r="C281" s="8"/>
      <c r="D281" s="183"/>
      <c r="E281" s="183"/>
      <c r="F281" s="8"/>
    </row>
    <row r="282" spans="1:10" ht="18" customHeight="1" x14ac:dyDescent="0.2">
      <c r="A282" s="183"/>
      <c r="B282" s="185"/>
      <c r="C282" s="185"/>
      <c r="D282" s="183"/>
      <c r="E282" s="183"/>
      <c r="F282" s="206"/>
      <c r="G282" s="207"/>
      <c r="J282" s="208"/>
    </row>
    <row r="283" spans="1:10" ht="12.75" customHeight="1" x14ac:dyDescent="0.2">
      <c r="A283" s="251" t="s">
        <v>418</v>
      </c>
      <c r="B283" s="254"/>
      <c r="C283" s="254"/>
      <c r="D283" s="254"/>
      <c r="E283" s="255"/>
      <c r="F283" s="8"/>
    </row>
    <row r="284" spans="1:10" ht="44.25" customHeight="1" x14ac:dyDescent="0.2">
      <c r="A284" s="11" t="s">
        <v>8</v>
      </c>
      <c r="B284" s="11" t="s">
        <v>418</v>
      </c>
      <c r="C284" s="12" t="s">
        <v>339</v>
      </c>
      <c r="D284" s="13" t="s">
        <v>11</v>
      </c>
      <c r="E284" s="14" t="s">
        <v>12</v>
      </c>
      <c r="F284" s="200"/>
    </row>
    <row r="285" spans="1:10" ht="15" customHeight="1" x14ac:dyDescent="0.2">
      <c r="A285" s="17" t="s">
        <v>419</v>
      </c>
      <c r="B285" s="209" t="s">
        <v>420</v>
      </c>
      <c r="C285" s="19">
        <f>+[2]BS17A!$D1962</f>
        <v>7</v>
      </c>
      <c r="D285" s="37">
        <f>+[2]BS17A!$U1962</f>
        <v>6120</v>
      </c>
      <c r="E285" s="145">
        <f>+[2]BS17A!$V1962</f>
        <v>42840</v>
      </c>
      <c r="F285" s="8"/>
    </row>
    <row r="286" spans="1:10" ht="15" customHeight="1" x14ac:dyDescent="0.2">
      <c r="A286" s="22" t="s">
        <v>421</v>
      </c>
      <c r="B286" s="210" t="s">
        <v>422</v>
      </c>
      <c r="C286" s="24">
        <f>+[2]BS17A!$D1963</f>
        <v>0</v>
      </c>
      <c r="D286" s="25">
        <f>+[2]BS17A!$U1963</f>
        <v>3260</v>
      </c>
      <c r="E286" s="146">
        <f>+[2]BS17A!$V1963</f>
        <v>0</v>
      </c>
      <c r="F286" s="8"/>
    </row>
    <row r="287" spans="1:10" ht="15" customHeight="1" x14ac:dyDescent="0.2">
      <c r="A287" s="22" t="s">
        <v>423</v>
      </c>
      <c r="B287" s="210" t="s">
        <v>424</v>
      </c>
      <c r="C287" s="24">
        <f>+[2]BS17A!$D1964</f>
        <v>5</v>
      </c>
      <c r="D287" s="25">
        <f>+[2]BS17A!$U1964</f>
        <v>12280</v>
      </c>
      <c r="E287" s="146">
        <f>+[2]BS17A!$V1964</f>
        <v>61400</v>
      </c>
      <c r="F287" s="8"/>
    </row>
    <row r="288" spans="1:10" ht="15" customHeight="1" x14ac:dyDescent="0.2">
      <c r="A288" s="22" t="s">
        <v>425</v>
      </c>
      <c r="B288" s="210" t="s">
        <v>426</v>
      </c>
      <c r="C288" s="24">
        <f>+[2]BS17A!$D1965</f>
        <v>0</v>
      </c>
      <c r="D288" s="25">
        <f>+[2]BS17A!$U1965</f>
        <v>125980</v>
      </c>
      <c r="E288" s="146">
        <f>+[2]BS17A!$V1965</f>
        <v>0</v>
      </c>
      <c r="F288" s="8"/>
    </row>
    <row r="289" spans="1:7" ht="15" customHeight="1" x14ac:dyDescent="0.2">
      <c r="A289" s="29" t="s">
        <v>427</v>
      </c>
      <c r="B289" s="211" t="s">
        <v>428</v>
      </c>
      <c r="C289" s="31">
        <f>+[2]BS17A!$D1966</f>
        <v>0</v>
      </c>
      <c r="D289" s="40">
        <f>+[2]BS17A!$U1966</f>
        <v>691940</v>
      </c>
      <c r="E289" s="153">
        <f>+[2]BS17A!$V1966</f>
        <v>0</v>
      </c>
      <c r="F289" s="8"/>
    </row>
    <row r="290" spans="1:7" ht="15" customHeight="1" x14ac:dyDescent="0.2">
      <c r="A290" s="130"/>
      <c r="B290" s="131" t="s">
        <v>429</v>
      </c>
      <c r="C290" s="56">
        <f>SUM(C285:C289)</f>
        <v>12</v>
      </c>
      <c r="D290" s="57"/>
      <c r="E290" s="107">
        <f>SUM(E285:E289)</f>
        <v>104240</v>
      </c>
      <c r="F290" s="8"/>
    </row>
    <row r="291" spans="1:7" ht="18" customHeight="1" x14ac:dyDescent="0.2">
      <c r="A291" s="183"/>
      <c r="B291" s="185"/>
      <c r="C291" s="183"/>
      <c r="D291" s="183"/>
      <c r="E291" s="183"/>
      <c r="F291" s="8"/>
    </row>
    <row r="292" spans="1:7" ht="18" customHeight="1" x14ac:dyDescent="0.2">
      <c r="A292" s="183"/>
      <c r="B292" s="185"/>
      <c r="C292" s="183"/>
      <c r="D292" s="183"/>
      <c r="E292" s="183"/>
      <c r="F292" s="212"/>
      <c r="G292" s="10"/>
    </row>
    <row r="293" spans="1:7" ht="12.75" x14ac:dyDescent="0.2">
      <c r="A293" s="242" t="s">
        <v>430</v>
      </c>
      <c r="B293" s="243"/>
      <c r="C293" s="243"/>
      <c r="D293" s="243"/>
      <c r="E293" s="244"/>
      <c r="F293" s="213"/>
      <c r="G293" s="10"/>
    </row>
    <row r="294" spans="1:7" ht="36.75" customHeight="1" x14ac:dyDescent="0.2">
      <c r="A294" s="11" t="s">
        <v>8</v>
      </c>
      <c r="B294" s="214" t="s">
        <v>430</v>
      </c>
      <c r="C294" s="215" t="s">
        <v>431</v>
      </c>
      <c r="D294" s="13" t="s">
        <v>11</v>
      </c>
      <c r="E294" s="14" t="s">
        <v>12</v>
      </c>
      <c r="F294" s="213"/>
      <c r="G294" s="10"/>
    </row>
    <row r="295" spans="1:7" ht="15" customHeight="1" x14ac:dyDescent="0.2">
      <c r="A295" s="17" t="s">
        <v>432</v>
      </c>
      <c r="B295" s="36" t="s">
        <v>433</v>
      </c>
      <c r="C295" s="19">
        <f>+[2]BS17A!$D1851</f>
        <v>224</v>
      </c>
      <c r="D295" s="37">
        <f>+[2]BS17A!$U1851</f>
        <v>16380</v>
      </c>
      <c r="E295" s="145">
        <f>+[2]BS17A!$V1851</f>
        <v>3669120</v>
      </c>
      <c r="F295" s="8"/>
    </row>
    <row r="296" spans="1:7" ht="15" customHeight="1" x14ac:dyDescent="0.2">
      <c r="A296" s="22" t="s">
        <v>434</v>
      </c>
      <c r="B296" s="28" t="s">
        <v>435</v>
      </c>
      <c r="C296" s="24">
        <f>+[2]BS17A!$D1852</f>
        <v>155</v>
      </c>
      <c r="D296" s="25">
        <f>+[2]BS17A!$U1852</f>
        <v>51500</v>
      </c>
      <c r="E296" s="146">
        <f>+[2]BS17A!$V1852</f>
        <v>7982500</v>
      </c>
      <c r="F296" s="8"/>
    </row>
    <row r="297" spans="1:7" ht="15" customHeight="1" x14ac:dyDescent="0.2">
      <c r="A297" s="22" t="s">
        <v>436</v>
      </c>
      <c r="B297" s="28" t="s">
        <v>437</v>
      </c>
      <c r="C297" s="24">
        <f>+[2]BS17A!$D1853</f>
        <v>0</v>
      </c>
      <c r="D297" s="25">
        <f>+[2]BS17A!$U1853</f>
        <v>63840</v>
      </c>
      <c r="E297" s="146">
        <f>+[2]BS17A!$V1853</f>
        <v>0</v>
      </c>
      <c r="F297" s="8"/>
    </row>
    <row r="298" spans="1:7" ht="15" customHeight="1" x14ac:dyDescent="0.2">
      <c r="A298" s="22" t="s">
        <v>438</v>
      </c>
      <c r="B298" s="28" t="s">
        <v>439</v>
      </c>
      <c r="C298" s="24">
        <f>+[2]BS17A!$D1854</f>
        <v>102</v>
      </c>
      <c r="D298" s="25">
        <f>+[2]BS17A!$U1854</f>
        <v>2250</v>
      </c>
      <c r="E298" s="146">
        <f>+[2]BS17A!$V1854</f>
        <v>229500</v>
      </c>
      <c r="F298" s="8"/>
    </row>
    <row r="299" spans="1:7" ht="15" customHeight="1" x14ac:dyDescent="0.2">
      <c r="A299" s="22" t="s">
        <v>440</v>
      </c>
      <c r="B299" s="28" t="s">
        <v>441</v>
      </c>
      <c r="C299" s="24">
        <f>+[2]BS17A!$D1855</f>
        <v>0</v>
      </c>
      <c r="D299" s="25">
        <f>+[2]BS17A!$U1855</f>
        <v>70</v>
      </c>
      <c r="E299" s="146">
        <f>+[2]BS17A!$V1855</f>
        <v>0</v>
      </c>
      <c r="F299" s="8"/>
    </row>
    <row r="300" spans="1:7" ht="15" customHeight="1" x14ac:dyDescent="0.2">
      <c r="A300" s="22" t="s">
        <v>442</v>
      </c>
      <c r="B300" s="23" t="s">
        <v>443</v>
      </c>
      <c r="C300" s="24">
        <f>+[2]BS17A!$D1856</f>
        <v>0</v>
      </c>
      <c r="D300" s="25">
        <f>+[2]BS17A!$U1856</f>
        <v>135560</v>
      </c>
      <c r="E300" s="146">
        <f>+[2]BS17A!$V1856</f>
        <v>0</v>
      </c>
      <c r="F300" s="8"/>
    </row>
    <row r="301" spans="1:7" ht="15" customHeight="1" x14ac:dyDescent="0.2">
      <c r="A301" s="29" t="s">
        <v>444</v>
      </c>
      <c r="B301" s="43" t="s">
        <v>445</v>
      </c>
      <c r="C301" s="31">
        <f>+[2]BS17A!$D1857</f>
        <v>0</v>
      </c>
      <c r="D301" s="40">
        <f>+[2]BS17A!$U1857</f>
        <v>9220</v>
      </c>
      <c r="E301" s="153">
        <f>+[2]BS17A!$V1857</f>
        <v>0</v>
      </c>
      <c r="F301" s="8"/>
    </row>
    <row r="302" spans="1:7" ht="15" customHeight="1" x14ac:dyDescent="0.2">
      <c r="A302" s="96"/>
      <c r="B302" s="246" t="s">
        <v>446</v>
      </c>
      <c r="C302" s="247"/>
      <c r="D302" s="188"/>
      <c r="E302" s="217">
        <f>SUM(E295:E301)</f>
        <v>11881120</v>
      </c>
      <c r="F302" s="8"/>
    </row>
    <row r="303" spans="1:7" ht="12.75" x14ac:dyDescent="0.2">
      <c r="A303" s="8"/>
      <c r="B303" s="8"/>
      <c r="C303" s="8"/>
      <c r="D303" s="8"/>
      <c r="E303" s="8"/>
      <c r="F303" s="175"/>
      <c r="G303" s="182"/>
    </row>
    <row r="304" spans="1:7" ht="12.75" x14ac:dyDescent="0.2">
      <c r="A304" s="8"/>
      <c r="B304" s="8"/>
      <c r="C304" s="8"/>
      <c r="D304" s="8"/>
      <c r="E304" s="8"/>
      <c r="F304" s="175"/>
      <c r="G304" s="182"/>
    </row>
    <row r="305" spans="1:7" ht="12.75" x14ac:dyDescent="0.2">
      <c r="A305" s="239" t="s">
        <v>447</v>
      </c>
      <c r="B305" s="240"/>
      <c r="C305" s="240"/>
      <c r="D305" s="240"/>
      <c r="E305" s="241"/>
      <c r="F305" s="175"/>
      <c r="G305" s="182"/>
    </row>
    <row r="306" spans="1:7" ht="12.75" x14ac:dyDescent="0.2">
      <c r="A306" s="218"/>
      <c r="B306" s="248" t="s">
        <v>448</v>
      </c>
      <c r="C306" s="249"/>
      <c r="D306" s="250"/>
      <c r="E306" s="219">
        <f>+E231+E236+E280+E290+E302</f>
        <v>21427270</v>
      </c>
      <c r="F306" s="8"/>
    </row>
    <row r="307" spans="1:7" ht="12.75" x14ac:dyDescent="0.2">
      <c r="A307" s="8"/>
      <c r="B307" s="8"/>
      <c r="C307" s="8"/>
      <c r="D307" s="8"/>
      <c r="E307" s="8"/>
      <c r="F307" s="175"/>
      <c r="G307" s="182"/>
    </row>
    <row r="308" spans="1:7" ht="12.75" x14ac:dyDescent="0.2">
      <c r="A308" s="8"/>
      <c r="B308" s="8"/>
      <c r="C308" s="8"/>
      <c r="D308" s="8"/>
      <c r="E308" s="8"/>
      <c r="F308" s="175"/>
      <c r="G308" s="182"/>
    </row>
    <row r="309" spans="1:7" ht="12.75" x14ac:dyDescent="0.2">
      <c r="A309" s="239" t="s">
        <v>449</v>
      </c>
      <c r="B309" s="240"/>
      <c r="C309" s="240"/>
      <c r="D309" s="240"/>
      <c r="E309" s="241"/>
      <c r="F309" s="175"/>
      <c r="G309" s="182"/>
    </row>
    <row r="310" spans="1:7" ht="25.5" x14ac:dyDescent="0.2">
      <c r="A310" s="242" t="s">
        <v>450</v>
      </c>
      <c r="B310" s="243"/>
      <c r="C310" s="243"/>
      <c r="D310" s="244"/>
      <c r="E310" s="11" t="s">
        <v>12</v>
      </c>
      <c r="F310" s="175"/>
      <c r="G310" s="182"/>
    </row>
    <row r="311" spans="1:7" ht="15" customHeight="1" x14ac:dyDescent="0.2">
      <c r="A311" s="218"/>
      <c r="B311" s="248" t="s">
        <v>451</v>
      </c>
      <c r="C311" s="249"/>
      <c r="D311" s="250"/>
      <c r="E311" s="219">
        <f>+E50+E76+E84+F109+E116+C121+E148+E155+E167+E203+E217+C224+E306</f>
        <v>511378270</v>
      </c>
      <c r="F311" s="175"/>
      <c r="G311" s="182"/>
    </row>
    <row r="312" spans="1:7" ht="18" customHeight="1" x14ac:dyDescent="0.2">
      <c r="A312" s="8"/>
      <c r="B312" s="8"/>
      <c r="C312" s="8"/>
      <c r="D312" s="8"/>
      <c r="E312" s="8"/>
      <c r="F312" s="5"/>
    </row>
    <row r="313" spans="1:7" ht="18" customHeight="1" x14ac:dyDescent="0.2">
      <c r="A313" s="8"/>
      <c r="B313" s="8"/>
      <c r="C313" s="8"/>
      <c r="D313" s="8"/>
      <c r="E313" s="8"/>
      <c r="F313" s="5"/>
    </row>
    <row r="314" spans="1:7" ht="18" customHeight="1" x14ac:dyDescent="0.2">
      <c r="A314" s="239" t="s">
        <v>452</v>
      </c>
      <c r="B314" s="240"/>
      <c r="C314" s="241"/>
      <c r="D314" s="8"/>
      <c r="E314" s="8"/>
      <c r="F314" s="5"/>
    </row>
    <row r="315" spans="1:7" ht="18" customHeight="1" x14ac:dyDescent="0.2">
      <c r="A315" s="242" t="s">
        <v>453</v>
      </c>
      <c r="B315" s="243"/>
      <c r="C315" s="244"/>
      <c r="D315" s="8"/>
      <c r="E315" s="8"/>
      <c r="F315" s="5"/>
    </row>
    <row r="316" spans="1:7" ht="30.75" customHeight="1" x14ac:dyDescent="0.2">
      <c r="A316" s="239" t="s">
        <v>454</v>
      </c>
      <c r="B316" s="240"/>
      <c r="C316" s="11" t="s">
        <v>455</v>
      </c>
      <c r="D316" s="8"/>
      <c r="E316" s="8"/>
      <c r="F316" s="8"/>
    </row>
    <row r="317" spans="1:7" ht="15" customHeight="1" x14ac:dyDescent="0.2">
      <c r="A317" s="220" t="s">
        <v>456</v>
      </c>
      <c r="B317" s="191"/>
      <c r="C317" s="221"/>
      <c r="D317" s="8"/>
      <c r="E317" s="8"/>
      <c r="F317" s="8"/>
    </row>
    <row r="318" spans="1:7" ht="15" customHeight="1" x14ac:dyDescent="0.2">
      <c r="A318" s="24" t="s">
        <v>457</v>
      </c>
      <c r="B318" s="193"/>
      <c r="C318" s="222"/>
      <c r="D318" s="8"/>
      <c r="E318" s="8"/>
      <c r="F318" s="8"/>
    </row>
    <row r="319" spans="1:7" ht="15" customHeight="1" x14ac:dyDescent="0.2">
      <c r="A319" s="24" t="s">
        <v>458</v>
      </c>
      <c r="B319" s="193"/>
      <c r="C319" s="222"/>
      <c r="D319" s="8"/>
      <c r="E319" s="8"/>
      <c r="F319" s="8"/>
    </row>
    <row r="320" spans="1:7" ht="15" customHeight="1" x14ac:dyDescent="0.2">
      <c r="A320" s="223" t="s">
        <v>459</v>
      </c>
      <c r="B320" s="193"/>
      <c r="C320" s="222"/>
      <c r="D320" s="8"/>
      <c r="E320" s="8"/>
      <c r="F320" s="8"/>
    </row>
    <row r="321" spans="1:6" ht="15" customHeight="1" x14ac:dyDescent="0.2">
      <c r="A321" s="224" t="s">
        <v>460</v>
      </c>
      <c r="B321" s="225"/>
      <c r="C321" s="226">
        <f>SUM(C317:C320)</f>
        <v>0</v>
      </c>
      <c r="D321" s="8"/>
      <c r="E321" s="8"/>
      <c r="F321" s="8"/>
    </row>
    <row r="322" spans="1:6" ht="15" customHeight="1" x14ac:dyDescent="0.2">
      <c r="A322" s="19" t="s">
        <v>461</v>
      </c>
      <c r="B322" s="227"/>
      <c r="C322" s="221">
        <v>6042113</v>
      </c>
      <c r="D322" s="8"/>
      <c r="E322" s="8"/>
      <c r="F322" s="8"/>
    </row>
    <row r="323" spans="1:6" ht="15" customHeight="1" x14ac:dyDescent="0.2">
      <c r="A323" s="228" t="s">
        <v>462</v>
      </c>
      <c r="B323" s="229"/>
      <c r="C323" s="222"/>
      <c r="D323" s="8"/>
      <c r="E323" s="8"/>
      <c r="F323" s="8"/>
    </row>
    <row r="324" spans="1:6" ht="15" customHeight="1" x14ac:dyDescent="0.2">
      <c r="A324" s="24" t="s">
        <v>463</v>
      </c>
      <c r="B324" s="229"/>
      <c r="C324" s="222"/>
      <c r="D324" s="8"/>
      <c r="E324" s="8"/>
      <c r="F324" s="8"/>
    </row>
    <row r="325" spans="1:6" ht="15" customHeight="1" x14ac:dyDescent="0.2">
      <c r="A325" s="24" t="s">
        <v>464</v>
      </c>
      <c r="B325" s="229"/>
      <c r="C325" s="222"/>
      <c r="D325" s="8"/>
      <c r="E325" s="8"/>
      <c r="F325" s="8"/>
    </row>
    <row r="326" spans="1:6" ht="15" customHeight="1" x14ac:dyDescent="0.2">
      <c r="A326" s="228" t="s">
        <v>465</v>
      </c>
      <c r="B326" s="229"/>
      <c r="C326" s="222"/>
      <c r="D326" s="8"/>
      <c r="E326" s="8"/>
      <c r="F326" s="8"/>
    </row>
    <row r="327" spans="1:6" ht="15" customHeight="1" x14ac:dyDescent="0.2">
      <c r="A327" s="228" t="s">
        <v>466</v>
      </c>
      <c r="B327" s="229"/>
      <c r="C327" s="222"/>
      <c r="D327" s="8"/>
      <c r="E327" s="8"/>
      <c r="F327" s="8"/>
    </row>
    <row r="328" spans="1:6" ht="15" customHeight="1" x14ac:dyDescent="0.2">
      <c r="A328" s="230" t="s">
        <v>467</v>
      </c>
      <c r="B328" s="231"/>
      <c r="C328" s="232">
        <v>47055807</v>
      </c>
      <c r="D328" s="8"/>
      <c r="E328" s="8"/>
      <c r="F328" s="8"/>
    </row>
    <row r="329" spans="1:6" ht="15" customHeight="1" x14ac:dyDescent="0.2">
      <c r="A329" s="44"/>
      <c r="B329" s="233" t="s">
        <v>468</v>
      </c>
      <c r="C329" s="163">
        <f>SUM(C321:C328)</f>
        <v>53097920</v>
      </c>
      <c r="D329" s="8"/>
      <c r="E329" s="8"/>
      <c r="F329" s="8"/>
    </row>
    <row r="330" spans="1:6" ht="12.75" x14ac:dyDescent="0.2">
      <c r="A330" s="8"/>
      <c r="B330" s="8"/>
      <c r="C330" s="8"/>
      <c r="D330" s="8"/>
      <c r="E330" s="8"/>
      <c r="F330" s="5"/>
    </row>
    <row r="331" spans="1:6" ht="12.75" x14ac:dyDescent="0.2">
      <c r="A331" s="8"/>
      <c r="B331" s="8"/>
      <c r="C331" s="8"/>
      <c r="D331" s="8"/>
      <c r="E331" s="8"/>
      <c r="F331" s="5"/>
    </row>
    <row r="332" spans="1:6" ht="12.75" x14ac:dyDescent="0.2">
      <c r="A332" s="8"/>
      <c r="B332" s="8"/>
      <c r="C332" s="8"/>
      <c r="D332" s="8"/>
      <c r="E332" s="8"/>
      <c r="F332" s="5"/>
    </row>
    <row r="333" spans="1:6" ht="12.75" x14ac:dyDescent="0.2">
      <c r="A333" s="183"/>
      <c r="B333" s="183"/>
      <c r="C333" s="183"/>
      <c r="D333" s="183"/>
      <c r="E333" s="183"/>
      <c r="F333" s="212"/>
    </row>
    <row r="334" spans="1:6" ht="12.75" x14ac:dyDescent="0.2">
      <c r="A334" s="183"/>
      <c r="B334" s="183"/>
      <c r="C334" s="183"/>
      <c r="D334" s="183"/>
      <c r="E334" s="245" t="str">
        <f>[2]NOMBRE!B12</f>
        <v>SRA. MARIA INES NUÑEZ GONZALEZ</v>
      </c>
      <c r="F334" s="245"/>
    </row>
    <row r="335" spans="1:6" ht="12.75" x14ac:dyDescent="0.2">
      <c r="A335" s="183"/>
      <c r="B335" s="183"/>
      <c r="C335" s="183"/>
      <c r="D335" s="185"/>
      <c r="E335" s="238" t="str">
        <f>[2]NOMBRE!A12</f>
        <v>Jefe de Estadisticas</v>
      </c>
      <c r="F335" s="238"/>
    </row>
    <row r="336" spans="1:6" ht="12.75" x14ac:dyDescent="0.2">
      <c r="A336" s="183"/>
      <c r="B336" s="183"/>
      <c r="C336" s="183"/>
      <c r="D336" s="183"/>
      <c r="E336" s="234"/>
      <c r="F336" s="235"/>
    </row>
    <row r="337" spans="1:6" ht="12.75" x14ac:dyDescent="0.2">
      <c r="A337" s="183"/>
      <c r="B337" s="183"/>
      <c r="C337" s="183"/>
      <c r="D337" s="183"/>
      <c r="E337" s="235"/>
      <c r="F337" s="235"/>
    </row>
    <row r="338" spans="1:6" ht="12.75" x14ac:dyDescent="0.2">
      <c r="A338" s="183"/>
      <c r="B338" s="183"/>
      <c r="C338" s="183"/>
      <c r="D338" s="183"/>
      <c r="E338" s="235"/>
      <c r="F338" s="235"/>
    </row>
    <row r="339" spans="1:6" ht="12.75" x14ac:dyDescent="0.2">
      <c r="A339" s="183"/>
      <c r="B339" s="183"/>
      <c r="C339" s="183"/>
      <c r="D339" s="183"/>
      <c r="E339" s="235"/>
      <c r="F339" s="235"/>
    </row>
    <row r="340" spans="1:6" ht="12.75" x14ac:dyDescent="0.2">
      <c r="A340" s="183"/>
      <c r="B340" s="183"/>
      <c r="C340" s="183"/>
      <c r="D340" s="183"/>
      <c r="E340" s="235"/>
      <c r="F340" s="235"/>
    </row>
    <row r="341" spans="1:6" ht="12.75" x14ac:dyDescent="0.2">
      <c r="A341" s="183"/>
      <c r="B341" s="183"/>
      <c r="C341" s="183"/>
      <c r="D341" s="183"/>
      <c r="E341" s="235"/>
      <c r="F341" s="235"/>
    </row>
    <row r="342" spans="1:6" ht="12.75" x14ac:dyDescent="0.2">
      <c r="A342" s="183"/>
      <c r="B342" s="183"/>
      <c r="C342" s="183"/>
      <c r="D342" s="183"/>
      <c r="E342" s="235"/>
      <c r="F342" s="235"/>
    </row>
    <row r="343" spans="1:6" ht="12.75" x14ac:dyDescent="0.2">
      <c r="A343" s="183"/>
      <c r="B343" s="183"/>
      <c r="C343" s="183"/>
      <c r="D343" s="183"/>
      <c r="E343" s="245" t="str">
        <f>[2]NOMBRE!B11</f>
        <v xml:space="preserve">DR. RUBEN BRAVO CASTILLO </v>
      </c>
      <c r="F343" s="245"/>
    </row>
    <row r="344" spans="1:6" ht="22.5" customHeight="1" x14ac:dyDescent="0.2">
      <c r="A344" s="183"/>
      <c r="B344" s="183"/>
      <c r="C344" s="183"/>
      <c r="D344" s="212"/>
      <c r="E344" s="238" t="str">
        <f>CONCATENATE("Director ",[2]NOMBRE!B1)</f>
        <v xml:space="preserve">Director </v>
      </c>
      <c r="F344" s="238"/>
    </row>
    <row r="345" spans="1:6" ht="12.75" x14ac:dyDescent="0.2">
      <c r="A345" s="183"/>
      <c r="B345" s="183"/>
      <c r="C345" s="183"/>
      <c r="D345" s="236"/>
      <c r="E345" s="183"/>
      <c r="F345" s="212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27:E227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0:E170"/>
    <mergeCell ref="A206:E206"/>
    <mergeCell ref="A220:C220"/>
    <mergeCell ref="B311:D311"/>
    <mergeCell ref="A234:E234"/>
    <mergeCell ref="A238:E238"/>
    <mergeCell ref="A254:E254"/>
    <mergeCell ref="A273:E273"/>
    <mergeCell ref="A283:E283"/>
    <mergeCell ref="A293:E293"/>
    <mergeCell ref="B302:C302"/>
    <mergeCell ref="A305:E305"/>
    <mergeCell ref="B306:D306"/>
    <mergeCell ref="A309:E309"/>
    <mergeCell ref="A310:D310"/>
    <mergeCell ref="E344:F344"/>
    <mergeCell ref="A314:C314"/>
    <mergeCell ref="A315:C315"/>
    <mergeCell ref="A316:B316"/>
    <mergeCell ref="E334:F334"/>
    <mergeCell ref="E335:F335"/>
    <mergeCell ref="E343:F3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workbookViewId="0">
      <selection activeCell="B20" sqref="B20"/>
    </sheetView>
  </sheetViews>
  <sheetFormatPr baseColWidth="10" defaultRowHeight="10.5" x14ac:dyDescent="0.15"/>
  <cols>
    <col min="1" max="1" width="15" style="4" customWidth="1"/>
    <col min="2" max="2" width="74" style="4" customWidth="1"/>
    <col min="3" max="5" width="21.42578125" style="4" customWidth="1"/>
    <col min="6" max="6" width="19.5703125" style="237" customWidth="1"/>
    <col min="7" max="7" width="2.42578125" style="4" customWidth="1"/>
    <col min="8" max="9" width="5.140625" style="4" customWidth="1"/>
    <col min="10" max="256" width="11.42578125" style="4"/>
    <col min="257" max="257" width="15" style="4" customWidth="1"/>
    <col min="258" max="258" width="74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15" style="4" customWidth="1"/>
    <col min="514" max="514" width="74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15" style="4" customWidth="1"/>
    <col min="770" max="770" width="74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15" style="4" customWidth="1"/>
    <col min="1026" max="1026" width="74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15" style="4" customWidth="1"/>
    <col min="1282" max="1282" width="74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15" style="4" customWidth="1"/>
    <col min="1538" max="1538" width="74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15" style="4" customWidth="1"/>
    <col min="1794" max="1794" width="74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15" style="4" customWidth="1"/>
    <col min="2050" max="2050" width="74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15" style="4" customWidth="1"/>
    <col min="2306" max="2306" width="74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15" style="4" customWidth="1"/>
    <col min="2562" max="2562" width="74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15" style="4" customWidth="1"/>
    <col min="2818" max="2818" width="74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15" style="4" customWidth="1"/>
    <col min="3074" max="3074" width="74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15" style="4" customWidth="1"/>
    <col min="3330" max="3330" width="74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15" style="4" customWidth="1"/>
    <col min="3586" max="3586" width="74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15" style="4" customWidth="1"/>
    <col min="3842" max="3842" width="74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15" style="4" customWidth="1"/>
    <col min="4098" max="4098" width="74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15" style="4" customWidth="1"/>
    <col min="4354" max="4354" width="74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15" style="4" customWidth="1"/>
    <col min="4610" max="4610" width="74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15" style="4" customWidth="1"/>
    <col min="4866" max="4866" width="74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15" style="4" customWidth="1"/>
    <col min="5122" max="5122" width="74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15" style="4" customWidth="1"/>
    <col min="5378" max="5378" width="74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15" style="4" customWidth="1"/>
    <col min="5634" max="5634" width="74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15" style="4" customWidth="1"/>
    <col min="5890" max="5890" width="74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15" style="4" customWidth="1"/>
    <col min="6146" max="6146" width="74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15" style="4" customWidth="1"/>
    <col min="6402" max="6402" width="74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15" style="4" customWidth="1"/>
    <col min="6658" max="6658" width="74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15" style="4" customWidth="1"/>
    <col min="6914" max="6914" width="74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15" style="4" customWidth="1"/>
    <col min="7170" max="7170" width="74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15" style="4" customWidth="1"/>
    <col min="7426" max="7426" width="74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15" style="4" customWidth="1"/>
    <col min="7682" max="7682" width="74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15" style="4" customWidth="1"/>
    <col min="7938" max="7938" width="74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15" style="4" customWidth="1"/>
    <col min="8194" max="8194" width="74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15" style="4" customWidth="1"/>
    <col min="8450" max="8450" width="74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15" style="4" customWidth="1"/>
    <col min="8706" max="8706" width="74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15" style="4" customWidth="1"/>
    <col min="8962" max="8962" width="74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15" style="4" customWidth="1"/>
    <col min="9218" max="9218" width="74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15" style="4" customWidth="1"/>
    <col min="9474" max="9474" width="74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15" style="4" customWidth="1"/>
    <col min="9730" max="9730" width="74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15" style="4" customWidth="1"/>
    <col min="9986" max="9986" width="74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15" style="4" customWidth="1"/>
    <col min="10242" max="10242" width="74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15" style="4" customWidth="1"/>
    <col min="10498" max="10498" width="74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15" style="4" customWidth="1"/>
    <col min="10754" max="10754" width="74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15" style="4" customWidth="1"/>
    <col min="11010" max="11010" width="74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15" style="4" customWidth="1"/>
    <col min="11266" max="11266" width="74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15" style="4" customWidth="1"/>
    <col min="11522" max="11522" width="74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15" style="4" customWidth="1"/>
    <col min="11778" max="11778" width="74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15" style="4" customWidth="1"/>
    <col min="12034" max="12034" width="74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15" style="4" customWidth="1"/>
    <col min="12290" max="12290" width="74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15" style="4" customWidth="1"/>
    <col min="12546" max="12546" width="74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15" style="4" customWidth="1"/>
    <col min="12802" max="12802" width="74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15" style="4" customWidth="1"/>
    <col min="13058" max="13058" width="74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15" style="4" customWidth="1"/>
    <col min="13314" max="13314" width="74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15" style="4" customWidth="1"/>
    <col min="13570" max="13570" width="74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15" style="4" customWidth="1"/>
    <col min="13826" max="13826" width="74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15" style="4" customWidth="1"/>
    <col min="14082" max="14082" width="74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15" style="4" customWidth="1"/>
    <col min="14338" max="14338" width="74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15" style="4" customWidth="1"/>
    <col min="14594" max="14594" width="74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15" style="4" customWidth="1"/>
    <col min="14850" max="14850" width="74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15" style="4" customWidth="1"/>
    <col min="15106" max="15106" width="74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15" style="4" customWidth="1"/>
    <col min="15362" max="15362" width="74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15" style="4" customWidth="1"/>
    <col min="15618" max="15618" width="74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15" style="4" customWidth="1"/>
    <col min="15874" max="15874" width="74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15" style="4" customWidth="1"/>
    <col min="16130" max="16130" width="74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271" t="s">
        <v>1</v>
      </c>
      <c r="D1" s="272"/>
      <c r="E1" s="273"/>
      <c r="F1" s="3"/>
    </row>
    <row r="2" spans="1:7" ht="12.75" x14ac:dyDescent="0.2">
      <c r="A2" s="1" t="str">
        <f>CONCATENATE("COMUNA: ",[3]NOMBRE!B2," - ","( ",[3]NOMBRE!C2,[3]NOMBRE!D2,[3]NOMBRE!E2,[3]NOMBRE!F2,[3]NOMBRE!G2," )")</f>
        <v>COMUNA: LINARES  - ( 07401 )</v>
      </c>
      <c r="B2" s="2"/>
      <c r="C2" s="268"/>
      <c r="D2" s="269"/>
      <c r="E2" s="270"/>
      <c r="F2" s="5"/>
      <c r="G2" s="6"/>
    </row>
    <row r="3" spans="1:7" ht="12.75" x14ac:dyDescent="0.2">
      <c r="A3" s="1" t="str">
        <f>CONCATENATE("ESTABLECIMIENTO: ",[3]NOMBRE!B3," - ","( ",[3]NOMBRE!C3,[3]NOMBRE!D3,[3]NOMBRE!E3,[3]NOMBRE!F3,[3]NOMBRE!G3," )")</f>
        <v>ESTABLECIMIENTO: HOSPITAL DE LINARES  - ( 16108 )</v>
      </c>
      <c r="B3" s="2"/>
      <c r="C3" s="271" t="s">
        <v>2</v>
      </c>
      <c r="D3" s="272"/>
      <c r="E3" s="273"/>
      <c r="F3" s="5"/>
      <c r="G3" s="7"/>
    </row>
    <row r="4" spans="1:7" ht="12.75" x14ac:dyDescent="0.2">
      <c r="A4" s="1" t="str">
        <f>CONCATENATE("MES: ",[3]NOMBRE!B6," - ","( ",[3]NOMBRE!C6,[3]NOMBRE!D6," )")</f>
        <v>MES: MARZO - ( 03 )</v>
      </c>
      <c r="B4" s="2"/>
      <c r="C4" s="268" t="str">
        <f>CONCATENATE([3]NOMBRE!B6," ","( ",[3]NOMBRE!C6,[3]NOMBRE!D6," )")</f>
        <v>MARZO ( 03 )</v>
      </c>
      <c r="D4" s="269"/>
      <c r="E4" s="270"/>
      <c r="F4" s="5"/>
      <c r="G4" s="7"/>
    </row>
    <row r="5" spans="1:7" ht="12.75" x14ac:dyDescent="0.2">
      <c r="A5" s="1" t="str">
        <f>CONCATENATE("AÑO: ",[3]NOMBRE!B7)</f>
        <v>AÑO: 2011</v>
      </c>
      <c r="B5" s="2"/>
      <c r="C5" s="271" t="s">
        <v>3</v>
      </c>
      <c r="D5" s="272"/>
      <c r="E5" s="273"/>
      <c r="F5" s="5"/>
      <c r="G5" s="7"/>
    </row>
    <row r="6" spans="1:7" ht="12.75" x14ac:dyDescent="0.2">
      <c r="A6" s="8"/>
      <c r="B6" s="8"/>
      <c r="C6" s="268">
        <f>[3]NOMBRE!B7</f>
        <v>2011</v>
      </c>
      <c r="D6" s="269"/>
      <c r="E6" s="270"/>
      <c r="F6" s="5"/>
      <c r="G6" s="7"/>
    </row>
    <row r="7" spans="1:7" ht="12.75" x14ac:dyDescent="0.2">
      <c r="A7" s="263" t="s">
        <v>4</v>
      </c>
      <c r="B7" s="264"/>
      <c r="C7" s="265" t="s">
        <v>5</v>
      </c>
      <c r="D7" s="266"/>
      <c r="E7" s="267"/>
      <c r="F7" s="5"/>
      <c r="G7" s="7"/>
    </row>
    <row r="8" spans="1:7" ht="12.75" x14ac:dyDescent="0.2">
      <c r="A8" s="8"/>
      <c r="B8" s="9" t="s">
        <v>6</v>
      </c>
      <c r="C8" s="268" t="str">
        <f>CONCATENATE([3]NOMBRE!B3," ","( ",[3]NOMBRE!C3,[3]NOMBRE!D3,[3]NOMBRE!E3,[3]NOMBRE!F3,[3]NOMBRE!G3," )")</f>
        <v>HOSPITAL DE LINARES  ( 16108 )</v>
      </c>
      <c r="D8" s="269"/>
      <c r="E8" s="270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256" t="s">
        <v>7</v>
      </c>
      <c r="B11" s="252"/>
      <c r="C11" s="252"/>
      <c r="D11" s="252"/>
      <c r="E11" s="253"/>
      <c r="F11" s="5"/>
    </row>
    <row r="12" spans="1:7" ht="43.5" customHeight="1" x14ac:dyDescent="0.2">
      <c r="A12" s="11" t="s">
        <v>8</v>
      </c>
      <c r="B12" s="11" t="s">
        <v>9</v>
      </c>
      <c r="C12" s="12" t="s">
        <v>10</v>
      </c>
      <c r="D12" s="13" t="s">
        <v>11</v>
      </c>
      <c r="E12" s="14" t="s">
        <v>12</v>
      </c>
      <c r="F12" s="8"/>
    </row>
    <row r="13" spans="1:7" ht="12.75" customHeight="1" x14ac:dyDescent="0.2">
      <c r="A13" s="242" t="s">
        <v>13</v>
      </c>
      <c r="B13" s="243"/>
      <c r="C13" s="243"/>
      <c r="D13" s="243"/>
      <c r="E13" s="244"/>
      <c r="F13" s="8"/>
    </row>
    <row r="14" spans="1:7" ht="15" customHeight="1" x14ac:dyDescent="0.2">
      <c r="A14" s="17" t="s">
        <v>14</v>
      </c>
      <c r="B14" s="18" t="s">
        <v>15</v>
      </c>
      <c r="C14" s="19">
        <f>[3]BS17A!$D13</f>
        <v>0</v>
      </c>
      <c r="D14" s="20">
        <f>[3]BS17A!$U13</f>
        <v>3710</v>
      </c>
      <c r="E14" s="21">
        <f>[3]BS17A!$V13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24">
        <f>[3]BS17A!$D14</f>
        <v>0</v>
      </c>
      <c r="D15" s="25">
        <f>[3]BS17A!$U14</f>
        <v>4670</v>
      </c>
      <c r="E15" s="26">
        <f>[3]BS17A!$V14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24">
        <f>[3]BS17A!$D15</f>
        <v>9016</v>
      </c>
      <c r="D16" s="25">
        <f>[3]BS17A!$U15</f>
        <v>9990</v>
      </c>
      <c r="E16" s="26">
        <f>[3]BS17A!$V15</f>
        <v>90069840</v>
      </c>
      <c r="F16" s="8"/>
    </row>
    <row r="17" spans="1:6" ht="15" customHeight="1" x14ac:dyDescent="0.2">
      <c r="A17" s="22" t="s">
        <v>20</v>
      </c>
      <c r="B17" s="23" t="s">
        <v>21</v>
      </c>
      <c r="C17" s="24">
        <f>[3]BS17A!$D16</f>
        <v>0</v>
      </c>
      <c r="D17" s="25">
        <f>[3]BS17A!$U16</f>
        <v>5970</v>
      </c>
      <c r="E17" s="26">
        <f>[3]BS17A!$V16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24">
        <f>[3]BS17A!$D17</f>
        <v>0</v>
      </c>
      <c r="D18" s="25">
        <f>[3]BS17A!$U17</f>
        <v>6550</v>
      </c>
      <c r="E18" s="26">
        <f>[3]BS17A!$V17</f>
        <v>0</v>
      </c>
      <c r="F18" s="8"/>
    </row>
    <row r="19" spans="1:6" ht="33" customHeight="1" x14ac:dyDescent="0.2">
      <c r="A19" s="22" t="s">
        <v>24</v>
      </c>
      <c r="B19" s="27" t="s">
        <v>25</v>
      </c>
      <c r="C19" s="24">
        <f>[3]BS17A!$D20</f>
        <v>0</v>
      </c>
      <c r="D19" s="25">
        <f>[3]BS17A!$U20</f>
        <v>5040</v>
      </c>
      <c r="E19" s="26">
        <f>[3]BS17A!$V20</f>
        <v>0</v>
      </c>
      <c r="F19" s="8"/>
    </row>
    <row r="20" spans="1:6" ht="42.75" customHeight="1" x14ac:dyDescent="0.2">
      <c r="A20" s="22" t="s">
        <v>26</v>
      </c>
      <c r="B20" s="27" t="s">
        <v>27</v>
      </c>
      <c r="C20" s="24">
        <f>[3]BS17A!$D21</f>
        <v>0</v>
      </c>
      <c r="D20" s="25">
        <f>[3]BS17A!$U21</f>
        <v>6050</v>
      </c>
      <c r="E20" s="26">
        <f>[3]BS17A!$V21</f>
        <v>0</v>
      </c>
      <c r="F20" s="8"/>
    </row>
    <row r="21" spans="1:6" ht="42.75" customHeight="1" x14ac:dyDescent="0.2">
      <c r="A21" s="22" t="s">
        <v>28</v>
      </c>
      <c r="B21" s="27" t="s">
        <v>29</v>
      </c>
      <c r="C21" s="24">
        <f>[3]BS17A!$D22</f>
        <v>0</v>
      </c>
      <c r="D21" s="25">
        <f>[3]BS17A!$U22</f>
        <v>7510</v>
      </c>
      <c r="E21" s="26">
        <f>[3]BS17A!$V22</f>
        <v>0</v>
      </c>
      <c r="F21" s="8"/>
    </row>
    <row r="22" spans="1:6" ht="32.25" customHeight="1" x14ac:dyDescent="0.2">
      <c r="A22" s="22" t="s">
        <v>30</v>
      </c>
      <c r="B22" s="27" t="s">
        <v>31</v>
      </c>
      <c r="C22" s="24">
        <f>[3]BS17A!$D23</f>
        <v>1604</v>
      </c>
      <c r="D22" s="25">
        <f>[3]BS17A!$U23</f>
        <v>5040</v>
      </c>
      <c r="E22" s="26">
        <f>[3]BS17A!$V23</f>
        <v>8084160</v>
      </c>
      <c r="F22" s="8"/>
    </row>
    <row r="23" spans="1:6" ht="40.5" customHeight="1" x14ac:dyDescent="0.2">
      <c r="A23" s="22" t="s">
        <v>32</v>
      </c>
      <c r="B23" s="27" t="s">
        <v>33</v>
      </c>
      <c r="C23" s="24">
        <f>[3]BS17A!$D24</f>
        <v>853</v>
      </c>
      <c r="D23" s="25">
        <f>[3]BS17A!$U24</f>
        <v>6050</v>
      </c>
      <c r="E23" s="26">
        <f>[3]BS17A!$V24</f>
        <v>5160650</v>
      </c>
      <c r="F23" s="8"/>
    </row>
    <row r="24" spans="1:6" ht="27" customHeight="1" x14ac:dyDescent="0.2">
      <c r="A24" s="22" t="s">
        <v>34</v>
      </c>
      <c r="B24" s="27" t="s">
        <v>35</v>
      </c>
      <c r="C24" s="24">
        <f>[3]BS17A!$D25</f>
        <v>2194</v>
      </c>
      <c r="D24" s="25">
        <f>[3]BS17A!$U25</f>
        <v>7510</v>
      </c>
      <c r="E24" s="26">
        <f>[3]BS17A!$V25</f>
        <v>16476940</v>
      </c>
      <c r="F24" s="8"/>
    </row>
    <row r="25" spans="1:6" ht="15" customHeight="1" x14ac:dyDescent="0.2">
      <c r="A25" s="22" t="s">
        <v>36</v>
      </c>
      <c r="B25" s="28" t="s">
        <v>37</v>
      </c>
      <c r="C25" s="24">
        <f>+[3]BS17A!$D791</f>
        <v>122</v>
      </c>
      <c r="D25" s="25">
        <f>+[3]BS17A!$U791</f>
        <v>6130</v>
      </c>
      <c r="E25" s="26">
        <f>+[3]BS17A!$V791</f>
        <v>747860</v>
      </c>
      <c r="F25" s="8"/>
    </row>
    <row r="26" spans="1:6" ht="15" customHeight="1" x14ac:dyDescent="0.2">
      <c r="A26" s="29" t="s">
        <v>38</v>
      </c>
      <c r="B26" s="30" t="s">
        <v>39</v>
      </c>
      <c r="C26" s="31">
        <f>+[3]BS17A!$D796</f>
        <v>0</v>
      </c>
      <c r="D26" s="32">
        <f>+[3]BS17A!$U796</f>
        <v>25400</v>
      </c>
      <c r="E26" s="33">
        <f>+[3]BS17A!$V796</f>
        <v>0</v>
      </c>
      <c r="F26" s="8"/>
    </row>
    <row r="27" spans="1:6" ht="18" customHeight="1" x14ac:dyDescent="0.2">
      <c r="A27" s="242" t="s">
        <v>40</v>
      </c>
      <c r="B27" s="243"/>
      <c r="C27" s="243"/>
      <c r="D27" s="243"/>
      <c r="E27" s="244"/>
      <c r="F27" s="8"/>
    </row>
    <row r="28" spans="1:6" ht="15" customHeight="1" x14ac:dyDescent="0.2">
      <c r="A28" s="17" t="s">
        <v>41</v>
      </c>
      <c r="B28" s="18" t="s">
        <v>42</v>
      </c>
      <c r="C28" s="19">
        <f>[3]BS17A!$D27</f>
        <v>1841</v>
      </c>
      <c r="D28" s="20">
        <f>[3]BS17A!$U27</f>
        <v>990</v>
      </c>
      <c r="E28" s="21">
        <f>[3]BS17A!$V27</f>
        <v>1822590</v>
      </c>
      <c r="F28" s="8"/>
    </row>
    <row r="29" spans="1:6" ht="15" customHeight="1" x14ac:dyDescent="0.2">
      <c r="A29" s="22" t="s">
        <v>43</v>
      </c>
      <c r="B29" s="34" t="s">
        <v>44</v>
      </c>
      <c r="C29" s="24">
        <f>[3]BS17A!$D28</f>
        <v>0</v>
      </c>
      <c r="D29" s="25">
        <f>[3]BS17A!$U28</f>
        <v>1680</v>
      </c>
      <c r="E29" s="26">
        <f>[3]BS17A!$V28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24">
        <f>[3]BS17A!$D29</f>
        <v>0</v>
      </c>
      <c r="D30" s="25">
        <f>[3]BS17A!$U29</f>
        <v>530</v>
      </c>
      <c r="E30" s="26">
        <f>[3]BS17A!$V29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24">
        <f>[3]BS17A!$D30</f>
        <v>27</v>
      </c>
      <c r="D31" s="25">
        <f>[3]BS17A!$U30</f>
        <v>1340</v>
      </c>
      <c r="E31" s="26">
        <f>[3]BS17A!$V30</f>
        <v>36180</v>
      </c>
      <c r="F31" s="8"/>
    </row>
    <row r="32" spans="1:6" ht="15" customHeight="1" x14ac:dyDescent="0.2">
      <c r="A32" s="22" t="s">
        <v>49</v>
      </c>
      <c r="B32" s="23" t="s">
        <v>50</v>
      </c>
      <c r="C32" s="24">
        <f>[3]BS17A!$D31</f>
        <v>1026</v>
      </c>
      <c r="D32" s="25">
        <f>[3]BS17A!$U31</f>
        <v>1070</v>
      </c>
      <c r="E32" s="26">
        <f>[3]BS17A!$V31</f>
        <v>1097820</v>
      </c>
      <c r="F32" s="8"/>
    </row>
    <row r="33" spans="1:6" ht="15" customHeight="1" x14ac:dyDescent="0.2">
      <c r="A33" s="22" t="s">
        <v>51</v>
      </c>
      <c r="B33" s="34" t="s">
        <v>52</v>
      </c>
      <c r="C33" s="24">
        <f>[3]BS17A!$D32</f>
        <v>0</v>
      </c>
      <c r="D33" s="25">
        <f>[3]BS17A!$U32</f>
        <v>990</v>
      </c>
      <c r="E33" s="26">
        <f>[3]BS17A!$V32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24">
        <f>+[3]BS17A!$D792</f>
        <v>0</v>
      </c>
      <c r="D34" s="25">
        <f>+[3]BS17A!$U792</f>
        <v>2400</v>
      </c>
      <c r="E34" s="26">
        <f>+[3]BS17A!$V792</f>
        <v>0</v>
      </c>
      <c r="F34" s="8"/>
    </row>
    <row r="35" spans="1:6" ht="15" customHeight="1" x14ac:dyDescent="0.2">
      <c r="A35" s="22" t="s">
        <v>55</v>
      </c>
      <c r="B35" s="34" t="s">
        <v>56</v>
      </c>
      <c r="C35" s="24">
        <f>+[3]BS17A!$D793</f>
        <v>889</v>
      </c>
      <c r="D35" s="25">
        <f>+[3]BS17A!$U793</f>
        <v>2400</v>
      </c>
      <c r="E35" s="26">
        <f>+[3]BS17A!$V793</f>
        <v>2133600</v>
      </c>
      <c r="F35" s="8"/>
    </row>
    <row r="36" spans="1:6" ht="15" customHeight="1" x14ac:dyDescent="0.2">
      <c r="A36" s="22" t="s">
        <v>57</v>
      </c>
      <c r="B36" s="34" t="s">
        <v>58</v>
      </c>
      <c r="C36" s="24">
        <f>+[3]BS17A!$D794</f>
        <v>0</v>
      </c>
      <c r="D36" s="25">
        <f>+[3]BS17A!$U794</f>
        <v>9560</v>
      </c>
      <c r="E36" s="26">
        <f>+[3]BS17A!$V794</f>
        <v>0</v>
      </c>
      <c r="F36" s="8"/>
    </row>
    <row r="37" spans="1:6" ht="15" customHeight="1" x14ac:dyDescent="0.2">
      <c r="A37" s="29" t="s">
        <v>59</v>
      </c>
      <c r="B37" s="35" t="s">
        <v>60</v>
      </c>
      <c r="C37" s="31">
        <f>+[3]BS17A!$D795</f>
        <v>11</v>
      </c>
      <c r="D37" s="32">
        <f>+[3]BS17A!$U795</f>
        <v>11200</v>
      </c>
      <c r="E37" s="33">
        <f>+[3]BS17A!$V795</f>
        <v>123200</v>
      </c>
      <c r="F37" s="8"/>
    </row>
    <row r="38" spans="1:6" ht="18" customHeight="1" x14ac:dyDescent="0.2">
      <c r="A38" s="251" t="s">
        <v>61</v>
      </c>
      <c r="B38" s="254"/>
      <c r="C38" s="254"/>
      <c r="D38" s="254"/>
      <c r="E38" s="255"/>
      <c r="F38" s="8"/>
    </row>
    <row r="39" spans="1:6" ht="15" customHeight="1" x14ac:dyDescent="0.2">
      <c r="A39" s="17" t="s">
        <v>62</v>
      </c>
      <c r="B39" s="36" t="s">
        <v>63</v>
      </c>
      <c r="C39" s="19">
        <f>+[3]BS17A!$D797</f>
        <v>0</v>
      </c>
      <c r="D39" s="37">
        <f>+[3]BS17A!$U797</f>
        <v>2790</v>
      </c>
      <c r="E39" s="38">
        <f>+[3]BS17A!$V797</f>
        <v>0</v>
      </c>
      <c r="F39" s="8"/>
    </row>
    <row r="40" spans="1:6" ht="15" customHeight="1" x14ac:dyDescent="0.2">
      <c r="A40" s="29" t="s">
        <v>64</v>
      </c>
      <c r="B40" s="39" t="s">
        <v>65</v>
      </c>
      <c r="C40" s="31">
        <f>+[3]BS17A!$D798</f>
        <v>0</v>
      </c>
      <c r="D40" s="40">
        <f>+[3]BS17A!$U798</f>
        <v>6550</v>
      </c>
      <c r="E40" s="41">
        <f>+[3]BS17A!$V798</f>
        <v>0</v>
      </c>
      <c r="F40" s="8"/>
    </row>
    <row r="41" spans="1:6" ht="18" customHeight="1" x14ac:dyDescent="0.2">
      <c r="A41" s="251" t="s">
        <v>66</v>
      </c>
      <c r="B41" s="254"/>
      <c r="C41" s="254"/>
      <c r="D41" s="254"/>
      <c r="E41" s="255"/>
      <c r="F41" s="8"/>
    </row>
    <row r="42" spans="1:6" ht="15" customHeight="1" x14ac:dyDescent="0.2">
      <c r="A42" s="17" t="s">
        <v>67</v>
      </c>
      <c r="B42" s="42" t="s">
        <v>68</v>
      </c>
      <c r="C42" s="19">
        <f>+[3]BS17A!$D34</f>
        <v>0</v>
      </c>
      <c r="D42" s="37">
        <f>+[3]BS17A!$U34</f>
        <v>3230</v>
      </c>
      <c r="E42" s="38">
        <f>+[3]BS17A!$V34</f>
        <v>0</v>
      </c>
      <c r="F42" s="8"/>
    </row>
    <row r="43" spans="1:6" ht="15" customHeight="1" x14ac:dyDescent="0.2">
      <c r="A43" s="22" t="s">
        <v>69</v>
      </c>
      <c r="B43" s="23" t="s">
        <v>70</v>
      </c>
      <c r="C43" s="24">
        <f>+[3]BS17A!$D35</f>
        <v>793</v>
      </c>
      <c r="D43" s="25">
        <f>+[3]BS17A!$U35</f>
        <v>1780</v>
      </c>
      <c r="E43" s="26">
        <f>+[3]BS17A!$V35</f>
        <v>1411540</v>
      </c>
      <c r="F43" s="8"/>
    </row>
    <row r="44" spans="1:6" ht="15" customHeight="1" x14ac:dyDescent="0.2">
      <c r="A44" s="22" t="s">
        <v>71</v>
      </c>
      <c r="B44" s="23" t="s">
        <v>72</v>
      </c>
      <c r="C44" s="24">
        <f>+[3]BS17A!$D36</f>
        <v>3</v>
      </c>
      <c r="D44" s="25">
        <f>+[3]BS17A!$U36</f>
        <v>1780</v>
      </c>
      <c r="E44" s="26">
        <f>+[3]BS17A!$V36</f>
        <v>5340</v>
      </c>
      <c r="F44" s="8"/>
    </row>
    <row r="45" spans="1:6" ht="15" customHeight="1" x14ac:dyDescent="0.2">
      <c r="A45" s="29" t="s">
        <v>73</v>
      </c>
      <c r="B45" s="43" t="s">
        <v>74</v>
      </c>
      <c r="C45" s="31">
        <f>+[3]BS17A!$D37</f>
        <v>608</v>
      </c>
      <c r="D45" s="40">
        <f>+[3]BS17A!$U37</f>
        <v>530</v>
      </c>
      <c r="E45" s="41">
        <f>+[3]BS17A!$V37</f>
        <v>322240</v>
      </c>
      <c r="F45" s="8"/>
    </row>
    <row r="46" spans="1:6" ht="18" customHeight="1" x14ac:dyDescent="0.2">
      <c r="A46" s="251" t="s">
        <v>75</v>
      </c>
      <c r="B46" s="254"/>
      <c r="C46" s="254"/>
      <c r="D46" s="254"/>
      <c r="E46" s="255"/>
      <c r="F46" s="8"/>
    </row>
    <row r="47" spans="1:6" ht="15" customHeight="1" x14ac:dyDescent="0.2">
      <c r="A47" s="17" t="s">
        <v>76</v>
      </c>
      <c r="B47" s="42" t="s">
        <v>77</v>
      </c>
      <c r="C47" s="19">
        <f>+[3]BS17A!$D39</f>
        <v>28</v>
      </c>
      <c r="D47" s="37">
        <f>+[3]BS17A!$U39</f>
        <v>1540</v>
      </c>
      <c r="E47" s="38">
        <f>+[3]BS17A!$V39</f>
        <v>43120</v>
      </c>
      <c r="F47" s="8"/>
    </row>
    <row r="48" spans="1:6" ht="15" customHeight="1" x14ac:dyDescent="0.2">
      <c r="A48" s="22" t="s">
        <v>78</v>
      </c>
      <c r="B48" s="23" t="s">
        <v>79</v>
      </c>
      <c r="C48" s="24">
        <f>+[3]BS17A!$D40</f>
        <v>28</v>
      </c>
      <c r="D48" s="25">
        <f>+[3]BS17A!$U40</f>
        <v>1540</v>
      </c>
      <c r="E48" s="26">
        <f>+[3]BS17A!$V40</f>
        <v>43120</v>
      </c>
      <c r="F48" s="8"/>
    </row>
    <row r="49" spans="1:7" ht="15" customHeight="1" x14ac:dyDescent="0.2">
      <c r="A49" s="29" t="s">
        <v>80</v>
      </c>
      <c r="B49" s="43" t="s">
        <v>81</v>
      </c>
      <c r="C49" s="31">
        <f>+[3]BS17A!$D41</f>
        <v>0</v>
      </c>
      <c r="D49" s="40">
        <f>+[3]BS17A!$U41</f>
        <v>880</v>
      </c>
      <c r="E49" s="41">
        <f>+[3]BS17A!$V41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19043</v>
      </c>
      <c r="D50" s="46"/>
      <c r="E50" s="47">
        <f>SUM(E14:E49)</f>
        <v>127578200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251" t="s">
        <v>83</v>
      </c>
      <c r="B53" s="254"/>
      <c r="C53" s="254"/>
      <c r="D53" s="254"/>
      <c r="E53" s="255"/>
      <c r="F53" s="51"/>
      <c r="G53" s="52"/>
    </row>
    <row r="54" spans="1:7" ht="38.25" x14ac:dyDescent="0.2">
      <c r="A54" s="11" t="s">
        <v>8</v>
      </c>
      <c r="B54" s="11" t="s">
        <v>84</v>
      </c>
      <c r="C54" s="12" t="s">
        <v>10</v>
      </c>
      <c r="D54" s="53"/>
      <c r="E54" s="14" t="s">
        <v>12</v>
      </c>
      <c r="F54" s="8"/>
    </row>
    <row r="55" spans="1:7" ht="18" customHeight="1" x14ac:dyDescent="0.2">
      <c r="A55" s="54" t="s">
        <v>85</v>
      </c>
      <c r="B55" s="55" t="s">
        <v>86</v>
      </c>
      <c r="C55" s="56">
        <f>+[3]BS17!$D12</f>
        <v>48800</v>
      </c>
      <c r="D55" s="57"/>
      <c r="E55" s="58">
        <f>+E56+E57+E58+E59+E60+E61+E65+E66+E67</f>
        <v>62190720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+[3]BS17!$D13</f>
        <v>17963</v>
      </c>
      <c r="D56" s="61"/>
      <c r="E56" s="62">
        <f>+[3]BS17A!V83</f>
        <v>18273720</v>
      </c>
      <c r="F56" s="8"/>
    </row>
    <row r="57" spans="1:7" ht="15" customHeight="1" x14ac:dyDescent="0.2">
      <c r="A57" s="22" t="s">
        <v>89</v>
      </c>
      <c r="B57" s="28" t="s">
        <v>90</v>
      </c>
      <c r="C57" s="24">
        <f>+[3]BS17!$D14</f>
        <v>20615</v>
      </c>
      <c r="D57" s="63"/>
      <c r="E57" s="64">
        <f>+[3]BS17A!V174</f>
        <v>21366950</v>
      </c>
      <c r="F57" s="8"/>
    </row>
    <row r="58" spans="1:7" ht="15" customHeight="1" x14ac:dyDescent="0.2">
      <c r="A58" s="22" t="s">
        <v>91</v>
      </c>
      <c r="B58" s="28" t="s">
        <v>92</v>
      </c>
      <c r="C58" s="24">
        <f>+[3]BS17!$D15</f>
        <v>1225</v>
      </c>
      <c r="D58" s="63"/>
      <c r="E58" s="64">
        <f>+[3]BS17A!V243</f>
        <v>3785290</v>
      </c>
      <c r="F58" s="8"/>
    </row>
    <row r="59" spans="1:7" ht="15" customHeight="1" x14ac:dyDescent="0.2">
      <c r="A59" s="22" t="s">
        <v>93</v>
      </c>
      <c r="B59" s="28" t="s">
        <v>94</v>
      </c>
      <c r="C59" s="24">
        <f>+[3]BS17!$D16</f>
        <v>0</v>
      </c>
      <c r="D59" s="63"/>
      <c r="E59" s="64">
        <f>+[3]BS17A!V289</f>
        <v>0</v>
      </c>
      <c r="F59" s="8"/>
    </row>
    <row r="60" spans="1:7" ht="15" customHeight="1" x14ac:dyDescent="0.2">
      <c r="A60" s="65" t="s">
        <v>95</v>
      </c>
      <c r="B60" s="30" t="s">
        <v>96</v>
      </c>
      <c r="C60" s="66">
        <f>+[3]BS17!$D17</f>
        <v>1099</v>
      </c>
      <c r="D60" s="67"/>
      <c r="E60" s="68">
        <f>+[3]BS17A!V295</f>
        <v>4529940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+[3]BS17!$D18</f>
        <v>5154</v>
      </c>
      <c r="D61" s="71"/>
      <c r="E61" s="72">
        <f>SUM(E62:E64)</f>
        <v>11170270</v>
      </c>
      <c r="F61" s="8"/>
    </row>
    <row r="62" spans="1:7" ht="15" customHeight="1" x14ac:dyDescent="0.2">
      <c r="A62" s="73"/>
      <c r="B62" s="42" t="s">
        <v>99</v>
      </c>
      <c r="C62" s="19">
        <f>+[3]BS17!$D19</f>
        <v>4478</v>
      </c>
      <c r="D62" s="74"/>
      <c r="E62" s="75">
        <f>+[3]BS17A!V362</f>
        <v>8875690</v>
      </c>
      <c r="F62" s="8"/>
    </row>
    <row r="63" spans="1:7" ht="15" customHeight="1" x14ac:dyDescent="0.2">
      <c r="A63" s="73"/>
      <c r="B63" s="28" t="s">
        <v>100</v>
      </c>
      <c r="C63" s="24">
        <f>+[3]BS17!$D20</f>
        <v>113</v>
      </c>
      <c r="D63" s="63"/>
      <c r="E63" s="64">
        <f>+[3]BS17A!V405</f>
        <v>244690</v>
      </c>
      <c r="F63" s="8"/>
    </row>
    <row r="64" spans="1:7" ht="15" customHeight="1" x14ac:dyDescent="0.2">
      <c r="A64" s="76"/>
      <c r="B64" s="43" t="s">
        <v>101</v>
      </c>
      <c r="C64" s="31">
        <f>+[3]BS17!$D21</f>
        <v>563</v>
      </c>
      <c r="D64" s="77"/>
      <c r="E64" s="78">
        <f>+[3]BS17A!V428</f>
        <v>2049890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+[3]BS17!$D22</f>
        <v>0</v>
      </c>
      <c r="D65" s="61"/>
      <c r="E65" s="62">
        <f>+[3]BS17A!V446</f>
        <v>0</v>
      </c>
      <c r="F65" s="8"/>
    </row>
    <row r="66" spans="1:7" ht="15" customHeight="1" x14ac:dyDescent="0.2">
      <c r="A66" s="22" t="s">
        <v>104</v>
      </c>
      <c r="B66" s="28" t="s">
        <v>105</v>
      </c>
      <c r="C66" s="24">
        <f>+[3]BS17!$D23</f>
        <v>55</v>
      </c>
      <c r="D66" s="63"/>
      <c r="E66" s="64">
        <f>+[3]BS17A!V456</f>
        <v>97620</v>
      </c>
      <c r="F66" s="8"/>
    </row>
    <row r="67" spans="1:7" ht="15" customHeight="1" x14ac:dyDescent="0.2">
      <c r="A67" s="65" t="s">
        <v>106</v>
      </c>
      <c r="B67" s="30" t="s">
        <v>107</v>
      </c>
      <c r="C67" s="66">
        <f>+[3]BS17!$D24</f>
        <v>2689</v>
      </c>
      <c r="D67" s="67"/>
      <c r="E67" s="68">
        <f>+[3]BS17A!V500</f>
        <v>2966930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+[3]BS17!$D25</f>
        <v>4408</v>
      </c>
      <c r="D68" s="83"/>
      <c r="E68" s="84">
        <f>SUM(E69:E74)</f>
        <v>55814580</v>
      </c>
      <c r="F68" s="8"/>
    </row>
    <row r="69" spans="1:7" ht="15" customHeight="1" x14ac:dyDescent="0.2">
      <c r="A69" s="22" t="s">
        <v>110</v>
      </c>
      <c r="B69" s="28" t="s">
        <v>111</v>
      </c>
      <c r="C69" s="24">
        <f>+[3]BS17!$D26</f>
        <v>2637</v>
      </c>
      <c r="D69" s="63"/>
      <c r="E69" s="64">
        <f>+[3]BS17A!V535</f>
        <v>18560650</v>
      </c>
      <c r="F69" s="8"/>
    </row>
    <row r="70" spans="1:7" ht="15" customHeight="1" x14ac:dyDescent="0.2">
      <c r="A70" s="22" t="s">
        <v>112</v>
      </c>
      <c r="B70" s="28" t="s">
        <v>113</v>
      </c>
      <c r="C70" s="24">
        <f>+[3]BS17!$D27</f>
        <v>1</v>
      </c>
      <c r="D70" s="63"/>
      <c r="E70" s="64">
        <f>+[3]BS17A!V590</f>
        <v>14410</v>
      </c>
      <c r="F70" s="8"/>
    </row>
    <row r="71" spans="1:7" ht="15" customHeight="1" x14ac:dyDescent="0.2">
      <c r="A71" s="22" t="s">
        <v>114</v>
      </c>
      <c r="B71" s="28" t="s">
        <v>115</v>
      </c>
      <c r="C71" s="24">
        <f>+[3]BS17!$D28</f>
        <v>428</v>
      </c>
      <c r="D71" s="63"/>
      <c r="E71" s="64">
        <f>+[3]BS17A!V615</f>
        <v>19640570</v>
      </c>
      <c r="F71" s="8"/>
    </row>
    <row r="72" spans="1:7" ht="15" customHeight="1" x14ac:dyDescent="0.2">
      <c r="A72" s="22" t="s">
        <v>116</v>
      </c>
      <c r="B72" s="28" t="s">
        <v>117</v>
      </c>
      <c r="C72" s="24">
        <f>+[3]BS17!$D30+[3]BS17!$D32</f>
        <v>1342</v>
      </c>
      <c r="D72" s="63"/>
      <c r="E72" s="64">
        <f>+[3]BS17A!V633-[3]BS17A!V634</f>
        <v>17598950</v>
      </c>
      <c r="F72" s="8"/>
    </row>
    <row r="73" spans="1:7" ht="15" customHeight="1" x14ac:dyDescent="0.2">
      <c r="A73" s="85"/>
      <c r="B73" s="28" t="s">
        <v>118</v>
      </c>
      <c r="C73" s="24">
        <f>+[3]BS17!$D31</f>
        <v>0</v>
      </c>
      <c r="D73" s="63"/>
      <c r="E73" s="64">
        <f>+[3]BS17A!V634</f>
        <v>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+[3]BS17!$D33</f>
        <v>0</v>
      </c>
      <c r="D74" s="89"/>
      <c r="E74" s="90">
        <f>+[3]BS17A!V654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+[3]BS17!$D34</f>
        <v>0</v>
      </c>
      <c r="D75" s="94"/>
      <c r="E75" s="95">
        <f>+[3]BS17A!V779</f>
        <v>0</v>
      </c>
      <c r="F75" s="8"/>
    </row>
    <row r="76" spans="1:7" ht="15" customHeight="1" x14ac:dyDescent="0.2">
      <c r="A76" s="96"/>
      <c r="B76" s="97" t="s">
        <v>123</v>
      </c>
      <c r="C76" s="56">
        <f>+C55+C68+C75</f>
        <v>53208</v>
      </c>
      <c r="D76" s="57"/>
      <c r="E76" s="98">
        <f>+E55+E68+E75</f>
        <v>118005300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256" t="s">
        <v>124</v>
      </c>
      <c r="B79" s="252"/>
      <c r="C79" s="252"/>
      <c r="D79" s="252"/>
      <c r="E79" s="253"/>
      <c r="F79" s="51"/>
      <c r="G79" s="52"/>
    </row>
    <row r="80" spans="1:7" ht="38.25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19">
        <f>+[3]BS17!D49</f>
        <v>0</v>
      </c>
      <c r="D81" s="61"/>
      <c r="E81" s="103">
        <f>+SUM([3]BS17A!V670+[3]BS17A!V697+[3]BS17A!V716+[3]BS17A!V723+[3]BS17A!V726+[3]BS17A!V743+[3]BS17A!V760)</f>
        <v>0</v>
      </c>
      <c r="F81" s="8"/>
    </row>
    <row r="82" spans="1:6" ht="15" customHeight="1" x14ac:dyDescent="0.2">
      <c r="A82" s="104">
        <v>2001</v>
      </c>
      <c r="B82" s="28" t="s">
        <v>127</v>
      </c>
      <c r="C82" s="24">
        <f>+[3]BS17!E120</f>
        <v>1781</v>
      </c>
      <c r="D82" s="63"/>
      <c r="E82" s="105">
        <f>+[3]BS17A!V1562</f>
        <v>12203440</v>
      </c>
      <c r="F82" s="8"/>
    </row>
    <row r="83" spans="1:6" ht="15" customHeight="1" x14ac:dyDescent="0.2">
      <c r="A83" s="65" t="s">
        <v>128</v>
      </c>
      <c r="B83" s="30" t="s">
        <v>129</v>
      </c>
      <c r="C83" s="66">
        <f>+[3]BS17A!D1837</f>
        <v>23</v>
      </c>
      <c r="D83" s="67"/>
      <c r="E83" s="106">
        <f>+[3]BS17A!V1837</f>
        <v>1523110</v>
      </c>
      <c r="F83" s="8"/>
    </row>
    <row r="84" spans="1:6" ht="17.25" customHeight="1" x14ac:dyDescent="0.2">
      <c r="A84" s="96"/>
      <c r="B84" s="97" t="s">
        <v>130</v>
      </c>
      <c r="C84" s="56">
        <f>+SUM(C81:C83)</f>
        <v>1804</v>
      </c>
      <c r="D84" s="57"/>
      <c r="E84" s="107">
        <f>SUM(E81:E83)</f>
        <v>13726550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239" t="s">
        <v>131</v>
      </c>
      <c r="B87" s="240"/>
      <c r="C87" s="240"/>
      <c r="D87" s="240"/>
      <c r="E87" s="240"/>
      <c r="F87" s="241"/>
    </row>
    <row r="88" spans="1:6" ht="33.75" customHeight="1" x14ac:dyDescent="0.15">
      <c r="A88" s="260" t="s">
        <v>8</v>
      </c>
      <c r="B88" s="260" t="s">
        <v>9</v>
      </c>
      <c r="C88" s="242" t="s">
        <v>10</v>
      </c>
      <c r="D88" s="243"/>
      <c r="E88" s="243"/>
      <c r="F88" s="244"/>
    </row>
    <row r="89" spans="1:6" ht="35.25" customHeight="1" x14ac:dyDescent="0.15">
      <c r="A89" s="261"/>
      <c r="B89" s="261"/>
      <c r="C89" s="99" t="s">
        <v>132</v>
      </c>
      <c r="D89" s="108" t="s">
        <v>133</v>
      </c>
      <c r="E89" s="13" t="s">
        <v>134</v>
      </c>
      <c r="F89" s="1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+[3]BS17!F66</f>
        <v>0</v>
      </c>
      <c r="D90" s="110">
        <f>+[3]BS17!G66</f>
        <v>0</v>
      </c>
      <c r="E90" s="111">
        <f>+[3]BS17!H66</f>
        <v>0</v>
      </c>
      <c r="F90" s="112">
        <f>[3]BS17A!V807</f>
        <v>0</v>
      </c>
    </row>
    <row r="91" spans="1:6" ht="15" customHeight="1" x14ac:dyDescent="0.2">
      <c r="A91" s="22" t="s">
        <v>137</v>
      </c>
      <c r="B91" s="28" t="s">
        <v>138</v>
      </c>
      <c r="C91" s="113">
        <f>+[3]BS17!F67</f>
        <v>114</v>
      </c>
      <c r="D91" s="114">
        <f>+[3]BS17!G67</f>
        <v>0</v>
      </c>
      <c r="E91" s="115">
        <f>+[3]BS17!H67</f>
        <v>0</v>
      </c>
      <c r="F91" s="116">
        <f>[3]BS17A!V878</f>
        <v>35723990</v>
      </c>
    </row>
    <row r="92" spans="1:6" ht="15" customHeight="1" x14ac:dyDescent="0.2">
      <c r="A92" s="22" t="s">
        <v>139</v>
      </c>
      <c r="B92" s="28" t="s">
        <v>140</v>
      </c>
      <c r="C92" s="113">
        <f>+[3]BS17!F68</f>
        <v>15</v>
      </c>
      <c r="D92" s="114">
        <f>+[3]BS17!G68</f>
        <v>0</v>
      </c>
      <c r="E92" s="115">
        <f>+[3]BS17!H68</f>
        <v>0</v>
      </c>
      <c r="F92" s="116">
        <f>[3]BS17A!V957</f>
        <v>1117020</v>
      </c>
    </row>
    <row r="93" spans="1:6" ht="15" customHeight="1" x14ac:dyDescent="0.2">
      <c r="A93" s="22" t="s">
        <v>141</v>
      </c>
      <c r="B93" s="28" t="s">
        <v>142</v>
      </c>
      <c r="C93" s="113">
        <f>+[3]BS17!F69</f>
        <v>0</v>
      </c>
      <c r="D93" s="114">
        <f>+[3]BS17!G69</f>
        <v>0</v>
      </c>
      <c r="E93" s="115">
        <f>+[3]BS17!H69</f>
        <v>0</v>
      </c>
      <c r="F93" s="116">
        <f>[3]BS17A!V1033</f>
        <v>0</v>
      </c>
    </row>
    <row r="94" spans="1:6" ht="15" customHeight="1" x14ac:dyDescent="0.2">
      <c r="A94" s="22" t="s">
        <v>143</v>
      </c>
      <c r="B94" s="28" t="s">
        <v>144</v>
      </c>
      <c r="C94" s="113">
        <f>+[3]BS17!F70</f>
        <v>91</v>
      </c>
      <c r="D94" s="114">
        <f>+[3]BS17!G70</f>
        <v>3</v>
      </c>
      <c r="E94" s="115">
        <f>+[3]BS17!H70</f>
        <v>0</v>
      </c>
      <c r="F94" s="116">
        <f>[3]BS17A!V1094</f>
        <v>4065340</v>
      </c>
    </row>
    <row r="95" spans="1:6" ht="15" customHeight="1" x14ac:dyDescent="0.2">
      <c r="A95" s="22" t="s">
        <v>145</v>
      </c>
      <c r="B95" s="28" t="s">
        <v>146</v>
      </c>
      <c r="C95" s="113">
        <f>+[3]BS17!F71</f>
        <v>133</v>
      </c>
      <c r="D95" s="114">
        <f>+[3]BS17!G71</f>
        <v>1</v>
      </c>
      <c r="E95" s="115">
        <f>+[3]BS17!H71</f>
        <v>0</v>
      </c>
      <c r="F95" s="116">
        <f>[3]BS17A!V1162</f>
        <v>3438640</v>
      </c>
    </row>
    <row r="96" spans="1:6" ht="15" customHeight="1" x14ac:dyDescent="0.2">
      <c r="A96" s="22" t="s">
        <v>147</v>
      </c>
      <c r="B96" s="28" t="s">
        <v>148</v>
      </c>
      <c r="C96" s="113">
        <f>+[3]BS17!F72</f>
        <v>1</v>
      </c>
      <c r="D96" s="114">
        <f>+[3]BS17!G72</f>
        <v>0</v>
      </c>
      <c r="E96" s="115">
        <f>+[3]BS17!H72</f>
        <v>0</v>
      </c>
      <c r="F96" s="116">
        <f>[3]BS17A!V1210</f>
        <v>284390</v>
      </c>
    </row>
    <row r="97" spans="1:6" ht="15" customHeight="1" x14ac:dyDescent="0.2">
      <c r="A97" s="22" t="s">
        <v>149</v>
      </c>
      <c r="B97" s="28" t="s">
        <v>150</v>
      </c>
      <c r="C97" s="113">
        <f>+[3]BS17!F73</f>
        <v>1</v>
      </c>
      <c r="D97" s="114">
        <f>+[3]BS17!G73</f>
        <v>0</v>
      </c>
      <c r="E97" s="115">
        <f>+[3]BS17!H73</f>
        <v>0</v>
      </c>
      <c r="F97" s="116">
        <f>[3]BS17A!V1276</f>
        <v>100000</v>
      </c>
    </row>
    <row r="98" spans="1:6" ht="15" customHeight="1" x14ac:dyDescent="0.2">
      <c r="A98" s="22" t="s">
        <v>151</v>
      </c>
      <c r="B98" s="28" t="s">
        <v>152</v>
      </c>
      <c r="C98" s="113">
        <f>+[3]BS17!F74</f>
        <v>168</v>
      </c>
      <c r="D98" s="114">
        <f>+[3]BS17!G74</f>
        <v>9</v>
      </c>
      <c r="E98" s="115">
        <f>+[3]BS17!H74</f>
        <v>0</v>
      </c>
      <c r="F98" s="116">
        <f>[3]BS17A!V1346</f>
        <v>40494990</v>
      </c>
    </row>
    <row r="99" spans="1:6" ht="15" customHeight="1" x14ac:dyDescent="0.2">
      <c r="A99" s="22" t="s">
        <v>153</v>
      </c>
      <c r="B99" s="28" t="s">
        <v>154</v>
      </c>
      <c r="C99" s="113">
        <f>+[3]BS17!F75</f>
        <v>14</v>
      </c>
      <c r="D99" s="114">
        <f>+[3]BS17!G75</f>
        <v>0</v>
      </c>
      <c r="E99" s="115">
        <f>+[3]BS17!H75</f>
        <v>0</v>
      </c>
      <c r="F99" s="116">
        <f>[3]BS17A!V1430</f>
        <v>998440</v>
      </c>
    </row>
    <row r="100" spans="1:6" ht="15" customHeight="1" x14ac:dyDescent="0.2">
      <c r="A100" s="22" t="s">
        <v>155</v>
      </c>
      <c r="B100" s="28" t="s">
        <v>156</v>
      </c>
      <c r="C100" s="113">
        <f>+[3]BS17!F76</f>
        <v>32</v>
      </c>
      <c r="D100" s="114">
        <f>+[3]BS17!G76</f>
        <v>3</v>
      </c>
      <c r="E100" s="115">
        <f>+[3]BS17!H76</f>
        <v>0</v>
      </c>
      <c r="F100" s="116">
        <f>[3]BS17A!V1477</f>
        <v>6024475</v>
      </c>
    </row>
    <row r="101" spans="1:6" ht="15" customHeight="1" x14ac:dyDescent="0.2">
      <c r="A101" s="22" t="s">
        <v>157</v>
      </c>
      <c r="B101" s="28" t="s">
        <v>158</v>
      </c>
      <c r="C101" s="113">
        <f>+[3]BS17!F77</f>
        <v>5</v>
      </c>
      <c r="D101" s="114">
        <f>+[3]BS17!G77</f>
        <v>0</v>
      </c>
      <c r="E101" s="115">
        <f>+[3]BS17!H77</f>
        <v>0</v>
      </c>
      <c r="F101" s="116">
        <f>[3]BS17A!V1580</f>
        <v>1044240</v>
      </c>
    </row>
    <row r="102" spans="1:6" ht="15" customHeight="1" x14ac:dyDescent="0.2">
      <c r="A102" s="65" t="s">
        <v>159</v>
      </c>
      <c r="B102" s="30" t="s">
        <v>160</v>
      </c>
      <c r="C102" s="117">
        <f>+[3]BS17!F78</f>
        <v>33</v>
      </c>
      <c r="D102" s="118">
        <f>+[3]BS17!G78</f>
        <v>6</v>
      </c>
      <c r="E102" s="119">
        <f>+[3]BS17!H78</f>
        <v>0</v>
      </c>
      <c r="F102" s="120">
        <f>[3]BS17A!V1585</f>
        <v>6274630</v>
      </c>
    </row>
    <row r="103" spans="1:6" ht="15" customHeight="1" x14ac:dyDescent="0.2">
      <c r="A103" s="17" t="s">
        <v>161</v>
      </c>
      <c r="B103" s="36" t="s">
        <v>162</v>
      </c>
      <c r="C103" s="109">
        <f>+[3]BS17!F79</f>
        <v>55</v>
      </c>
      <c r="D103" s="110">
        <f>+[3]BS17!G79</f>
        <v>0</v>
      </c>
      <c r="E103" s="111">
        <f>+[3]BS17!H79</f>
        <v>0</v>
      </c>
      <c r="F103" s="112">
        <f>+[3]BS17A!V1619</f>
        <v>5881800</v>
      </c>
    </row>
    <row r="104" spans="1:6" ht="15" customHeight="1" x14ac:dyDescent="0.2">
      <c r="A104" s="22"/>
      <c r="B104" s="28" t="s">
        <v>163</v>
      </c>
      <c r="C104" s="113">
        <f>+[3]BS17A!D1623</f>
        <v>0</v>
      </c>
      <c r="D104" s="114">
        <f>+[3]BS17A!F1623</f>
        <v>0</v>
      </c>
      <c r="E104" s="115">
        <f>+[3]BS17A!G1623</f>
        <v>0</v>
      </c>
      <c r="F104" s="116">
        <f>+[3]BS17A!V1623</f>
        <v>0</v>
      </c>
    </row>
    <row r="105" spans="1:6" ht="15" customHeight="1" x14ac:dyDescent="0.2">
      <c r="A105" s="22"/>
      <c r="B105" s="28" t="s">
        <v>164</v>
      </c>
      <c r="C105" s="113">
        <f>+[3]BS17A!D1622</f>
        <v>40</v>
      </c>
      <c r="D105" s="114">
        <f>+[3]BS17A!F1622</f>
        <v>0</v>
      </c>
      <c r="E105" s="115">
        <f>+[3]BS17A!G1622</f>
        <v>0</v>
      </c>
      <c r="F105" s="116">
        <f>+[3]BS17A!V1622</f>
        <v>4582800</v>
      </c>
    </row>
    <row r="106" spans="1:6" ht="15" customHeight="1" x14ac:dyDescent="0.2">
      <c r="A106" s="29"/>
      <c r="B106" s="39" t="s">
        <v>165</v>
      </c>
      <c r="C106" s="121">
        <f>+[3]BS17A!D1620+[3]BS17A!D1621</f>
        <v>15</v>
      </c>
      <c r="D106" s="122">
        <f>+[3]BS17A!F1620+[3]BS17A!F1621</f>
        <v>0</v>
      </c>
      <c r="E106" s="123">
        <f>+[3]BS17A!G1620+[3]BS17A!G1621</f>
        <v>0</v>
      </c>
      <c r="F106" s="124">
        <f>+[3]BS17A!V1620+[3]BS17A!V1621</f>
        <v>1299000</v>
      </c>
    </row>
    <row r="107" spans="1:6" ht="15" customHeight="1" x14ac:dyDescent="0.2">
      <c r="A107" s="59" t="s">
        <v>166</v>
      </c>
      <c r="B107" s="79" t="s">
        <v>167</v>
      </c>
      <c r="C107" s="125">
        <f>+[3]BS17!F80</f>
        <v>40</v>
      </c>
      <c r="D107" s="126">
        <f>+[3]BS17!G80</f>
        <v>2</v>
      </c>
      <c r="E107" s="127">
        <f>+[3]BS17!H80</f>
        <v>0</v>
      </c>
      <c r="F107" s="128">
        <f>+[3]BS17A!V1627</f>
        <v>5130705</v>
      </c>
    </row>
    <row r="108" spans="1:6" ht="15" customHeight="1" x14ac:dyDescent="0.2">
      <c r="A108" s="129">
        <v>2106</v>
      </c>
      <c r="B108" s="39" t="s">
        <v>168</v>
      </c>
      <c r="C108" s="121">
        <f>[3]BS17A!D1833</f>
        <v>1</v>
      </c>
      <c r="D108" s="122">
        <f>[3]BS17A!F1833</f>
        <v>0</v>
      </c>
      <c r="E108" s="123">
        <f>[3]BS17A!G1833</f>
        <v>0</v>
      </c>
      <c r="F108" s="124">
        <f>+[3]BS17A!V1833</f>
        <v>95660</v>
      </c>
    </row>
    <row r="109" spans="1:6" ht="15" customHeight="1" x14ac:dyDescent="0.2">
      <c r="A109" s="130"/>
      <c r="B109" s="131" t="s">
        <v>169</v>
      </c>
      <c r="C109" s="132">
        <f>SUM(C90:C108)-C103</f>
        <v>703</v>
      </c>
      <c r="D109" s="133">
        <f>SUM(D90:D108)-D103</f>
        <v>24</v>
      </c>
      <c r="E109" s="134">
        <f>+SUM(E90:E103)+E107+E108</f>
        <v>0</v>
      </c>
      <c r="F109" s="135">
        <f>+SUM(F90:F103)+F107+F108</f>
        <v>110674320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256" t="s">
        <v>170</v>
      </c>
      <c r="B112" s="252"/>
      <c r="C112" s="252"/>
      <c r="D112" s="252"/>
      <c r="E112" s="253"/>
      <c r="F112" s="5"/>
    </row>
    <row r="113" spans="1:6" ht="38.25" x14ac:dyDescent="0.2">
      <c r="A113" s="11" t="s">
        <v>8</v>
      </c>
      <c r="B113" s="11" t="s">
        <v>9</v>
      </c>
      <c r="C113" s="12" t="s">
        <v>10</v>
      </c>
      <c r="D113" s="13" t="s">
        <v>11</v>
      </c>
      <c r="E113" s="1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19">
        <f>+[3]BS17A!D1624</f>
        <v>110</v>
      </c>
      <c r="D114" s="136">
        <f>+[3]BS17A!U1624</f>
        <v>114560</v>
      </c>
      <c r="E114" s="137">
        <f>+[3]BS17A!V1624</f>
        <v>12601600</v>
      </c>
      <c r="F114" s="8"/>
    </row>
    <row r="115" spans="1:6" ht="15" customHeight="1" x14ac:dyDescent="0.2">
      <c r="A115" s="29" t="s">
        <v>173</v>
      </c>
      <c r="B115" s="138" t="s">
        <v>174</v>
      </c>
      <c r="C115" s="66">
        <f>+[3]BS17A!D1625</f>
        <v>9</v>
      </c>
      <c r="D115" s="139">
        <f>+[3]BS17A!U1625</f>
        <v>120540</v>
      </c>
      <c r="E115" s="106">
        <f>+[3]BS17A!V1625</f>
        <v>1084860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119</v>
      </c>
      <c r="D116" s="57"/>
      <c r="E116" s="107">
        <f>SUM(E114:E115)</f>
        <v>13686460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262" t="s">
        <v>176</v>
      </c>
      <c r="B119" s="262"/>
      <c r="C119" s="262"/>
      <c r="D119" s="8"/>
      <c r="E119" s="8"/>
      <c r="F119" s="5"/>
    </row>
    <row r="120" spans="1:6" ht="28.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+[3]BS17A!V1859+[3]BS17A!V1876+[3]BS17A!V1895</f>
        <v>13453450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256" t="s">
        <v>179</v>
      </c>
      <c r="B124" s="252"/>
      <c r="C124" s="252"/>
      <c r="D124" s="252"/>
      <c r="E124" s="253"/>
      <c r="F124" s="5"/>
    </row>
    <row r="125" spans="1:6" ht="38.25" x14ac:dyDescent="0.2">
      <c r="A125" s="11" t="s">
        <v>8</v>
      </c>
      <c r="B125" s="11" t="s">
        <v>9</v>
      </c>
      <c r="C125" s="12" t="s">
        <v>10</v>
      </c>
      <c r="D125" s="13" t="s">
        <v>11</v>
      </c>
      <c r="E125" s="1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19">
        <f>+[3]BS17A!$D59</f>
        <v>4907</v>
      </c>
      <c r="D126" s="37">
        <f>+[3]BS17A!$U59</f>
        <v>29340</v>
      </c>
      <c r="E126" s="145">
        <f>+[3]BS17A!$V59</f>
        <v>143971380</v>
      </c>
      <c r="F126" s="8"/>
    </row>
    <row r="127" spans="1:6" ht="15" customHeight="1" x14ac:dyDescent="0.2">
      <c r="A127" s="22" t="s">
        <v>182</v>
      </c>
      <c r="B127" s="23" t="s">
        <v>183</v>
      </c>
      <c r="C127" s="24">
        <f>+[3]BS17A!$D60</f>
        <v>0</v>
      </c>
      <c r="D127" s="25">
        <f>+[3]BS17A!$U60</f>
        <v>27010</v>
      </c>
      <c r="E127" s="146">
        <f>+[3]BS17A!$V60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24">
        <f>+[3]BS17A!$D61</f>
        <v>0</v>
      </c>
      <c r="D128" s="25">
        <f>+[3]BS17A!$U61</f>
        <v>22520</v>
      </c>
      <c r="E128" s="146">
        <f>+[3]BS17A!$V61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24">
        <f>SUM([3]BS17A!D62:D64)</f>
        <v>0</v>
      </c>
      <c r="D129" s="25">
        <f>+[3]BS17A!$U62</f>
        <v>121970</v>
      </c>
      <c r="E129" s="146">
        <f>SUM([3]BS17A!V62:V64)</f>
        <v>0</v>
      </c>
      <c r="F129" s="8"/>
    </row>
    <row r="130" spans="1:6" ht="15" customHeight="1" x14ac:dyDescent="0.2">
      <c r="A130" s="22" t="s">
        <v>188</v>
      </c>
      <c r="B130" s="23" t="s">
        <v>189</v>
      </c>
      <c r="C130" s="24">
        <f>SUM([3]BS17A!D65:D67)</f>
        <v>382</v>
      </c>
      <c r="D130" s="25">
        <f>+[3]BS17A!$U65</f>
        <v>58920</v>
      </c>
      <c r="E130" s="146">
        <f>SUM([3]BS17A!V65:V67)</f>
        <v>22507440</v>
      </c>
      <c r="F130" s="8"/>
    </row>
    <row r="131" spans="1:6" ht="15" customHeight="1" x14ac:dyDescent="0.2">
      <c r="A131" s="22" t="s">
        <v>190</v>
      </c>
      <c r="B131" s="23" t="s">
        <v>191</v>
      </c>
      <c r="C131" s="24">
        <f>+[3]BS17A!D68</f>
        <v>135</v>
      </c>
      <c r="D131" s="25">
        <f>+[3]BS17A!$U68</f>
        <v>52860</v>
      </c>
      <c r="E131" s="146">
        <f>+[3]BS17A!$V68</f>
        <v>7136100</v>
      </c>
      <c r="F131" s="8"/>
    </row>
    <row r="132" spans="1:6" ht="15" customHeight="1" x14ac:dyDescent="0.2">
      <c r="A132" s="22" t="s">
        <v>192</v>
      </c>
      <c r="B132" s="23" t="s">
        <v>193</v>
      </c>
      <c r="C132" s="24">
        <f>+[3]BS17A!$D69</f>
        <v>0</v>
      </c>
      <c r="D132" s="25">
        <f>+[3]BS17A!$U69</f>
        <v>15000</v>
      </c>
      <c r="E132" s="146">
        <f>+[3]BS17A!$V69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24">
        <f>+[3]BS17A!$D70</f>
        <v>0</v>
      </c>
      <c r="D133" s="25">
        <f>+[3]BS17A!$U70</f>
        <v>23500</v>
      </c>
      <c r="E133" s="146">
        <f>+[3]BS17A!$V70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24">
        <f>+[3]BS17A!$D73</f>
        <v>0</v>
      </c>
      <c r="D134" s="25">
        <f>+[3]BS17A!$U73</f>
        <v>23690</v>
      </c>
      <c r="E134" s="146">
        <f>+[3]BS17A!$V73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24">
        <f>+[3]BS17A!$D71</f>
        <v>0</v>
      </c>
      <c r="D135" s="25">
        <f>+[3]BS17A!$U71</f>
        <v>24460</v>
      </c>
      <c r="E135" s="146">
        <f>+[3]BS17A!$V71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24">
        <f>+[3]BS17A!$D76</f>
        <v>0</v>
      </c>
      <c r="D136" s="25">
        <f>+[3]BS17A!$U76</f>
        <v>29340</v>
      </c>
      <c r="E136" s="146">
        <f>+[3]BS17A!$V76</f>
        <v>0</v>
      </c>
      <c r="F136" s="8"/>
    </row>
    <row r="137" spans="1:6" ht="15" customHeight="1" x14ac:dyDescent="0.2">
      <c r="A137" s="22" t="s">
        <v>202</v>
      </c>
      <c r="B137" s="28" t="s">
        <v>203</v>
      </c>
      <c r="C137" s="24">
        <f>+[3]BS17A!$D79</f>
        <v>0</v>
      </c>
      <c r="D137" s="25">
        <f>+[3]BS17A!$U79</f>
        <v>5690</v>
      </c>
      <c r="E137" s="146">
        <f>+[3]BS17A!$V79</f>
        <v>0</v>
      </c>
      <c r="F137" s="8"/>
    </row>
    <row r="138" spans="1:6" ht="15" customHeight="1" x14ac:dyDescent="0.2">
      <c r="A138" s="22" t="s">
        <v>204</v>
      </c>
      <c r="B138" s="28" t="s">
        <v>205</v>
      </c>
      <c r="C138" s="24">
        <f>+[3]BS17A!$D80</f>
        <v>0</v>
      </c>
      <c r="D138" s="25">
        <f>+[3]BS17A!$U80</f>
        <v>41110</v>
      </c>
      <c r="E138" s="146">
        <f>+[3]BS17A!$V80</f>
        <v>0</v>
      </c>
      <c r="F138" s="8"/>
    </row>
    <row r="139" spans="1:6" ht="15" customHeight="1" x14ac:dyDescent="0.2">
      <c r="A139" s="29"/>
      <c r="B139" s="147" t="s">
        <v>206</v>
      </c>
      <c r="C139" s="148">
        <f>SUM(C126:C138)</f>
        <v>5424</v>
      </c>
      <c r="D139" s="149"/>
      <c r="E139" s="150">
        <f>SUM(E126:E138)</f>
        <v>173614920</v>
      </c>
      <c r="F139" s="8"/>
    </row>
    <row r="140" spans="1:6" ht="15" customHeight="1" x14ac:dyDescent="0.2">
      <c r="A140" s="17"/>
      <c r="B140" s="81" t="s">
        <v>207</v>
      </c>
      <c r="C140" s="19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24">
        <f>+[3]BS17A!$D72</f>
        <v>0</v>
      </c>
      <c r="D141" s="25">
        <f>+[3]BS17A!$U72</f>
        <v>9860</v>
      </c>
      <c r="E141" s="146">
        <f>+[3]BS17A!$V72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24">
        <f>+[3]BS17A!$D74</f>
        <v>0</v>
      </c>
      <c r="D142" s="25">
        <f>+[3]BS17A!$U74</f>
        <v>9860</v>
      </c>
      <c r="E142" s="146">
        <f>+[3]BS17A!$V74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24">
        <f>+[3]BS17A!$D75</f>
        <v>13</v>
      </c>
      <c r="D143" s="25">
        <f>+[3]BS17A!$U75</f>
        <v>4350</v>
      </c>
      <c r="E143" s="146">
        <f>+[3]BS17A!$V75</f>
        <v>56550</v>
      </c>
      <c r="F143" s="8"/>
    </row>
    <row r="144" spans="1:6" ht="15" customHeight="1" x14ac:dyDescent="0.2">
      <c r="A144" s="22" t="s">
        <v>214</v>
      </c>
      <c r="B144" s="23" t="s">
        <v>215</v>
      </c>
      <c r="C144" s="24">
        <f>+[3]BS17A!$D77</f>
        <v>0</v>
      </c>
      <c r="D144" s="25">
        <f>+[3]BS17A!$U77</f>
        <v>79320</v>
      </c>
      <c r="E144" s="146">
        <f>+[3]BS17A!$V77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24">
        <f>+[3]BS17A!$D78</f>
        <v>0</v>
      </c>
      <c r="D145" s="25">
        <f>+[3]BS17A!$U78</f>
        <v>9360</v>
      </c>
      <c r="E145" s="146">
        <f>+[3]BS17A!$V78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24">
        <f>+[3]BS17A!$D81</f>
        <v>0</v>
      </c>
      <c r="D146" s="25">
        <f>+[3]BS17A!$U81</f>
        <v>7210</v>
      </c>
      <c r="E146" s="146">
        <f>+[3]BS17A!$V81</f>
        <v>0</v>
      </c>
      <c r="F146" s="8"/>
    </row>
    <row r="147" spans="1:6" ht="15" customHeight="1" x14ac:dyDescent="0.2">
      <c r="A147" s="29"/>
      <c r="B147" s="147" t="s">
        <v>220</v>
      </c>
      <c r="C147" s="148">
        <f>SUM(C141:C146)</f>
        <v>13</v>
      </c>
      <c r="D147" s="149"/>
      <c r="E147" s="150">
        <f>SUM(E141:E146)</f>
        <v>56550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5437</v>
      </c>
      <c r="D148" s="151"/>
      <c r="E148" s="152">
        <f>+E139+E147</f>
        <v>173671470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239" t="s">
        <v>222</v>
      </c>
      <c r="B151" s="240"/>
      <c r="C151" s="240"/>
      <c r="D151" s="240"/>
      <c r="E151" s="241"/>
      <c r="F151" s="5"/>
    </row>
    <row r="152" spans="1:6" ht="36" customHeight="1" x14ac:dyDescent="0.2">
      <c r="A152" s="11" t="s">
        <v>8</v>
      </c>
      <c r="B152" s="11" t="s">
        <v>9</v>
      </c>
      <c r="C152" s="12" t="s">
        <v>10</v>
      </c>
      <c r="D152" s="13" t="s">
        <v>11</v>
      </c>
      <c r="E152" s="1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19">
        <f>+[3]BS17A!D43</f>
        <v>2849</v>
      </c>
      <c r="D153" s="37">
        <f>[3]BS17A!U43</f>
        <v>680</v>
      </c>
      <c r="E153" s="145">
        <f>+[3]BS17A!V43</f>
        <v>1937320</v>
      </c>
      <c r="F153" s="8"/>
    </row>
    <row r="154" spans="1:6" ht="15" customHeight="1" x14ac:dyDescent="0.2">
      <c r="A154" s="29" t="s">
        <v>225</v>
      </c>
      <c r="B154" s="43" t="s">
        <v>226</v>
      </c>
      <c r="C154" s="31">
        <f>+[3]BS17A!D44+[3]BS17A!D45</f>
        <v>0</v>
      </c>
      <c r="D154" s="40">
        <f>[3]BS17A!U44</f>
        <v>100</v>
      </c>
      <c r="E154" s="153">
        <f>+[3]BS17A!V44+[3]BS17A!V45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2849</v>
      </c>
      <c r="D155" s="151"/>
      <c r="E155" s="152">
        <f>SUM(E153:E154)</f>
        <v>1937320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239" t="s">
        <v>228</v>
      </c>
      <c r="B158" s="240"/>
      <c r="C158" s="240"/>
      <c r="D158" s="240"/>
      <c r="E158" s="241"/>
      <c r="F158" s="5"/>
    </row>
    <row r="159" spans="1:6" ht="47.25" customHeight="1" x14ac:dyDescent="0.2">
      <c r="A159" s="11" t="s">
        <v>8</v>
      </c>
      <c r="B159" s="11" t="s">
        <v>9</v>
      </c>
      <c r="C159" s="12" t="s">
        <v>10</v>
      </c>
      <c r="D159" s="13" t="s">
        <v>11</v>
      </c>
      <c r="E159" s="1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+[3]BS17A!$D1470</f>
        <v>0</v>
      </c>
      <c r="D160" s="37">
        <f>+[3]BS17A!$U1470</f>
        <v>36940</v>
      </c>
      <c r="E160" s="145">
        <f>+[3]BS17A!$V1470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+[3]BS17A!$D1471</f>
        <v>0</v>
      </c>
      <c r="D161" s="25">
        <f>+[3]BS17A!$U1471</f>
        <v>23230</v>
      </c>
      <c r="E161" s="146">
        <f>+[3]BS17A!$V1471</f>
        <v>0</v>
      </c>
      <c r="F161" s="8"/>
    </row>
    <row r="162" spans="1:6" ht="15" customHeight="1" x14ac:dyDescent="0.2">
      <c r="A162" s="22" t="s">
        <v>233</v>
      </c>
      <c r="B162" s="28" t="s">
        <v>234</v>
      </c>
      <c r="C162" s="155">
        <f>+[3]BS17A!$D1472</f>
        <v>0</v>
      </c>
      <c r="D162" s="25">
        <f>+[3]BS17A!$U1472</f>
        <v>23230</v>
      </c>
      <c r="E162" s="146">
        <f>+[3]BS17A!$V1472</f>
        <v>0</v>
      </c>
      <c r="F162" s="8"/>
    </row>
    <row r="163" spans="1:6" ht="15" customHeight="1" x14ac:dyDescent="0.2">
      <c r="A163" s="22" t="s">
        <v>235</v>
      </c>
      <c r="B163" s="156" t="s">
        <v>236</v>
      </c>
      <c r="C163" s="155">
        <f>+[3]BS17A!$D1473</f>
        <v>0</v>
      </c>
      <c r="D163" s="25">
        <f>+[3]BS17A!$U1473</f>
        <v>703680</v>
      </c>
      <c r="E163" s="146">
        <f>+[3]BS17A!$V1473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+[3]BS17A!$D1474</f>
        <v>0</v>
      </c>
      <c r="D164" s="25">
        <f>+[3]BS17A!$U1474</f>
        <v>498630</v>
      </c>
      <c r="E164" s="146">
        <f>+[3]BS17A!$V1474</f>
        <v>0</v>
      </c>
      <c r="F164" s="8"/>
    </row>
    <row r="165" spans="1:6" ht="15" customHeight="1" x14ac:dyDescent="0.2">
      <c r="A165" s="65" t="s">
        <v>239</v>
      </c>
      <c r="B165" s="138" t="s">
        <v>240</v>
      </c>
      <c r="C165" s="155">
        <f>+[3]BS17A!$D1475</f>
        <v>0</v>
      </c>
      <c r="D165" s="25">
        <f>+[3]BS17A!$U1475</f>
        <v>42450</v>
      </c>
      <c r="E165" s="146">
        <f>+[3]BS17A!$V1475</f>
        <v>0</v>
      </c>
      <c r="F165" s="8"/>
    </row>
    <row r="166" spans="1:6" ht="15" customHeight="1" x14ac:dyDescent="0.2">
      <c r="A166" s="129">
        <v>1901029</v>
      </c>
      <c r="B166" s="157" t="s">
        <v>241</v>
      </c>
      <c r="C166" s="158">
        <f>+[3]BS17A!$D1476</f>
        <v>0</v>
      </c>
      <c r="D166" s="40">
        <f>+[3]BS17A!$U1476</f>
        <v>573040</v>
      </c>
      <c r="E166" s="153">
        <f>+[3]BS17A!$V1476</f>
        <v>0</v>
      </c>
      <c r="F166" s="8"/>
    </row>
    <row r="167" spans="1:6" ht="15" customHeight="1" x14ac:dyDescent="0.2">
      <c r="A167" s="159"/>
      <c r="B167" s="160" t="s">
        <v>242</v>
      </c>
      <c r="C167" s="161">
        <f>SUM(C160:C166)</f>
        <v>0</v>
      </c>
      <c r="D167" s="162"/>
      <c r="E167" s="163">
        <f>SUM(E160:E166)</f>
        <v>0</v>
      </c>
      <c r="F167" s="8"/>
    </row>
    <row r="168" spans="1:6" ht="12.75" x14ac:dyDescent="0.2">
      <c r="A168" s="8"/>
      <c r="B168" s="8"/>
      <c r="C168" s="8"/>
      <c r="D168" s="8"/>
      <c r="E168" s="8"/>
      <c r="F168" s="8"/>
    </row>
    <row r="169" spans="1:6" ht="18" customHeight="1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256" t="s">
        <v>243</v>
      </c>
      <c r="B170" s="252"/>
      <c r="C170" s="252"/>
      <c r="D170" s="252"/>
      <c r="E170" s="253"/>
      <c r="F170" s="5"/>
    </row>
    <row r="171" spans="1:6" ht="35.25" customHeight="1" x14ac:dyDescent="0.2">
      <c r="A171" s="11" t="s">
        <v>8</v>
      </c>
      <c r="B171" s="11" t="s">
        <v>9</v>
      </c>
      <c r="C171" s="12" t="s">
        <v>10</v>
      </c>
      <c r="D171" s="13" t="s">
        <v>11</v>
      </c>
      <c r="E171" s="14" t="s">
        <v>12</v>
      </c>
      <c r="F171" s="8"/>
    </row>
    <row r="172" spans="1:6" ht="12.75" customHeight="1" x14ac:dyDescent="0.2">
      <c r="A172" s="164">
        <v>1101004</v>
      </c>
      <c r="B172" s="165" t="s">
        <v>244</v>
      </c>
      <c r="C172" s="19">
        <f>+[3]BS17A!$D801</f>
        <v>0</v>
      </c>
      <c r="D172" s="37">
        <f>+[3]BS17A!$U801</f>
        <v>12660</v>
      </c>
      <c r="E172" s="145">
        <f>+[3]BS17A!$V801</f>
        <v>0</v>
      </c>
      <c r="F172" s="8"/>
    </row>
    <row r="173" spans="1:6" ht="12.75" customHeight="1" x14ac:dyDescent="0.2">
      <c r="A173" s="104">
        <v>1101006</v>
      </c>
      <c r="B173" s="166" t="s">
        <v>245</v>
      </c>
      <c r="C173" s="24">
        <f>+[3]BS17A!$D802</f>
        <v>15</v>
      </c>
      <c r="D173" s="25">
        <f>+[3]BS17A!$U802</f>
        <v>10140</v>
      </c>
      <c r="E173" s="146">
        <f>+[3]BS17A!$V802</f>
        <v>152100</v>
      </c>
      <c r="F173" s="8"/>
    </row>
    <row r="174" spans="1:6" ht="24.75" customHeight="1" x14ac:dyDescent="0.2">
      <c r="A174" s="104" t="s">
        <v>246</v>
      </c>
      <c r="B174" s="167" t="s">
        <v>247</v>
      </c>
      <c r="C174" s="24">
        <f>+[3]BS17A!$D1186</f>
        <v>848</v>
      </c>
      <c r="D174" s="25">
        <f>+[3]BS17A!$U1186</f>
        <v>4340</v>
      </c>
      <c r="E174" s="146">
        <f>+[3]BS17A!$V1186</f>
        <v>3680320</v>
      </c>
      <c r="F174" s="8"/>
    </row>
    <row r="175" spans="1:6" ht="24.75" customHeight="1" x14ac:dyDescent="0.2">
      <c r="A175" s="104" t="s">
        <v>248</v>
      </c>
      <c r="B175" s="167" t="s">
        <v>249</v>
      </c>
      <c r="C175" s="24">
        <f>+[3]BS17A!$D1187</f>
        <v>41</v>
      </c>
      <c r="D175" s="25">
        <f>+[3]BS17A!$U1187</f>
        <v>12240</v>
      </c>
      <c r="E175" s="146">
        <f>+[3]BS17A!$V1187</f>
        <v>501840</v>
      </c>
      <c r="F175" s="8"/>
    </row>
    <row r="176" spans="1:6" ht="24.75" customHeight="1" x14ac:dyDescent="0.2">
      <c r="A176" s="104" t="s">
        <v>250</v>
      </c>
      <c r="B176" s="167" t="s">
        <v>251</v>
      </c>
      <c r="C176" s="24">
        <f>+[3]BS17A!$D1188</f>
        <v>53</v>
      </c>
      <c r="D176" s="25">
        <f>+[3]BS17A!$U1188</f>
        <v>20750</v>
      </c>
      <c r="E176" s="146">
        <f>+[3]BS17A!$V1188</f>
        <v>1099750</v>
      </c>
      <c r="F176" s="8"/>
    </row>
    <row r="177" spans="1:6" ht="12.75" customHeight="1" x14ac:dyDescent="0.2">
      <c r="A177" s="104" t="s">
        <v>252</v>
      </c>
      <c r="B177" s="167" t="s">
        <v>253</v>
      </c>
      <c r="C177" s="24">
        <f>+[3]BS17A!$D1189</f>
        <v>0</v>
      </c>
      <c r="D177" s="25">
        <f>+[3]BS17A!$U1189</f>
        <v>39600</v>
      </c>
      <c r="E177" s="146">
        <f>+[3]BS17A!$V1189</f>
        <v>0</v>
      </c>
      <c r="F177" s="8"/>
    </row>
    <row r="178" spans="1:6" ht="12.75" customHeight="1" x14ac:dyDescent="0.2">
      <c r="A178" s="104" t="s">
        <v>254</v>
      </c>
      <c r="B178" s="167" t="s">
        <v>255</v>
      </c>
      <c r="C178" s="24">
        <f>+[3]BS17A!$D1190</f>
        <v>98</v>
      </c>
      <c r="D178" s="25">
        <f>+[3]BS17A!$U1190</f>
        <v>44140</v>
      </c>
      <c r="E178" s="146">
        <f>+[3]BS17A!$V1190</f>
        <v>4325720</v>
      </c>
      <c r="F178" s="8"/>
    </row>
    <row r="179" spans="1:6" ht="24.75" customHeight="1" x14ac:dyDescent="0.2">
      <c r="A179" s="104" t="s">
        <v>256</v>
      </c>
      <c r="B179" s="167" t="s">
        <v>257</v>
      </c>
      <c r="C179" s="24">
        <f>+[3]BS17A!$D1191</f>
        <v>0</v>
      </c>
      <c r="D179" s="25">
        <f>+[3]BS17A!$U1191</f>
        <v>24760</v>
      </c>
      <c r="E179" s="146">
        <f>+[3]BS17A!$V1191</f>
        <v>0</v>
      </c>
      <c r="F179" s="8"/>
    </row>
    <row r="180" spans="1:6" ht="12.75" customHeight="1" x14ac:dyDescent="0.2">
      <c r="A180" s="104" t="s">
        <v>258</v>
      </c>
      <c r="B180" s="156" t="s">
        <v>259</v>
      </c>
      <c r="C180" s="24">
        <f>+[3]BS17A!$D1192</f>
        <v>0</v>
      </c>
      <c r="D180" s="25">
        <f>+[3]BS17A!$U1192</f>
        <v>191590</v>
      </c>
      <c r="E180" s="146">
        <f>+[3]BS17A!$V1192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24">
        <f>+[3]BS17A!$D1193</f>
        <v>0</v>
      </c>
      <c r="D181" s="25">
        <f>+[3]BS17A!$U1193</f>
        <v>217800</v>
      </c>
      <c r="E181" s="146">
        <f>+[3]BS17A!$V1193</f>
        <v>0</v>
      </c>
      <c r="F181" s="8"/>
    </row>
    <row r="182" spans="1:6" ht="12.75" customHeight="1" x14ac:dyDescent="0.2">
      <c r="A182" s="104" t="s">
        <v>262</v>
      </c>
      <c r="B182" s="167" t="s">
        <v>263</v>
      </c>
      <c r="C182" s="24">
        <f>+[3]BS17A!$D1194</f>
        <v>0</v>
      </c>
      <c r="D182" s="25">
        <f>+[3]BS17A!$U1194</f>
        <v>177610</v>
      </c>
      <c r="E182" s="146">
        <f>+[3]BS17A!$V1194</f>
        <v>0</v>
      </c>
      <c r="F182" s="8"/>
    </row>
    <row r="183" spans="1:6" ht="24.75" customHeight="1" x14ac:dyDescent="0.2">
      <c r="A183" s="104" t="s">
        <v>264</v>
      </c>
      <c r="B183" s="156" t="s">
        <v>265</v>
      </c>
      <c r="C183" s="24">
        <f>+[3]BS17A!$D1195</f>
        <v>0</v>
      </c>
      <c r="D183" s="25">
        <f>+[3]BS17A!$U1195</f>
        <v>228130</v>
      </c>
      <c r="E183" s="146">
        <f>+[3]BS17A!$V1195</f>
        <v>0</v>
      </c>
      <c r="F183" s="8"/>
    </row>
    <row r="184" spans="1:6" ht="24.75" customHeight="1" x14ac:dyDescent="0.2">
      <c r="A184" s="104" t="s">
        <v>266</v>
      </c>
      <c r="B184" s="156" t="s">
        <v>267</v>
      </c>
      <c r="C184" s="24">
        <f>+[3]BS17A!$D1196</f>
        <v>0</v>
      </c>
      <c r="D184" s="25">
        <f>+[3]BS17A!$U1196</f>
        <v>233440</v>
      </c>
      <c r="E184" s="146">
        <f>+[3]BS17A!$V1196</f>
        <v>0</v>
      </c>
      <c r="F184" s="8"/>
    </row>
    <row r="185" spans="1:6" ht="24.75" customHeight="1" x14ac:dyDescent="0.2">
      <c r="A185" s="104" t="s">
        <v>268</v>
      </c>
      <c r="B185" s="156" t="s">
        <v>269</v>
      </c>
      <c r="C185" s="24">
        <f>+[3]BS17A!$D1197</f>
        <v>0</v>
      </c>
      <c r="D185" s="25">
        <f>+[3]BS17A!$U1197</f>
        <v>197410</v>
      </c>
      <c r="E185" s="146">
        <f>+[3]BS17A!$V1197</f>
        <v>0</v>
      </c>
      <c r="F185" s="8"/>
    </row>
    <row r="186" spans="1:6" ht="12.75" customHeight="1" x14ac:dyDescent="0.2">
      <c r="A186" s="104" t="s">
        <v>270</v>
      </c>
      <c r="B186" s="156" t="s">
        <v>271</v>
      </c>
      <c r="C186" s="24">
        <f>+[3]BS17A!$D1198</f>
        <v>0</v>
      </c>
      <c r="D186" s="25">
        <f>+[3]BS17A!$U1198</f>
        <v>210720</v>
      </c>
      <c r="E186" s="146">
        <f>+[3]BS17A!$V1198</f>
        <v>0</v>
      </c>
      <c r="F186" s="8"/>
    </row>
    <row r="187" spans="1:6" ht="12.75" customHeight="1" x14ac:dyDescent="0.2">
      <c r="A187" s="104" t="s">
        <v>272</v>
      </c>
      <c r="B187" s="156" t="s">
        <v>273</v>
      </c>
      <c r="C187" s="24">
        <f>+[3]BS17A!$D1199</f>
        <v>0</v>
      </c>
      <c r="D187" s="25">
        <f>+[3]BS17A!$U1199</f>
        <v>251960</v>
      </c>
      <c r="E187" s="146">
        <f>+[3]BS17A!$V1199</f>
        <v>0</v>
      </c>
      <c r="F187" s="8"/>
    </row>
    <row r="188" spans="1:6" ht="24.75" customHeight="1" x14ac:dyDescent="0.2">
      <c r="A188" s="104" t="s">
        <v>274</v>
      </c>
      <c r="B188" s="167" t="s">
        <v>275</v>
      </c>
      <c r="C188" s="24">
        <f>+[3]BS17A!$D1200</f>
        <v>0</v>
      </c>
      <c r="D188" s="25">
        <f>+[3]BS17A!$U1200</f>
        <v>223440</v>
      </c>
      <c r="E188" s="146">
        <f>+[3]BS17A!$V1200</f>
        <v>0</v>
      </c>
      <c r="F188" s="8"/>
    </row>
    <row r="189" spans="1:6" ht="24.75" customHeight="1" x14ac:dyDescent="0.2">
      <c r="A189" s="104" t="s">
        <v>276</v>
      </c>
      <c r="B189" s="156" t="s">
        <v>277</v>
      </c>
      <c r="C189" s="24">
        <f>+[3]BS17A!$D1201</f>
        <v>0</v>
      </c>
      <c r="D189" s="25">
        <f>+[3]BS17A!$U1201</f>
        <v>1635110</v>
      </c>
      <c r="E189" s="146">
        <f>+[3]BS17A!$V1201</f>
        <v>0</v>
      </c>
      <c r="F189" s="8"/>
    </row>
    <row r="190" spans="1:6" ht="12.75" customHeight="1" x14ac:dyDescent="0.2">
      <c r="A190" s="104" t="s">
        <v>278</v>
      </c>
      <c r="B190" s="156" t="s">
        <v>279</v>
      </c>
      <c r="C190" s="24">
        <f>+[3]BS17A!$D1202</f>
        <v>0</v>
      </c>
      <c r="D190" s="25">
        <f>+[3]BS17A!$U1202</f>
        <v>1021290</v>
      </c>
      <c r="E190" s="146">
        <f>+[3]BS17A!$V1202</f>
        <v>0</v>
      </c>
      <c r="F190" s="8"/>
    </row>
    <row r="191" spans="1:6" ht="12.75" customHeight="1" x14ac:dyDescent="0.2">
      <c r="A191" s="22" t="s">
        <v>280</v>
      </c>
      <c r="B191" s="156" t="s">
        <v>281</v>
      </c>
      <c r="C191" s="24">
        <f>+[3]BS17A!$D1203</f>
        <v>0</v>
      </c>
      <c r="D191" s="25">
        <f>+[3]BS17A!$U1203</f>
        <v>988490</v>
      </c>
      <c r="E191" s="146">
        <f>+[3]BS17A!$V1203</f>
        <v>0</v>
      </c>
      <c r="F191" s="8"/>
    </row>
    <row r="192" spans="1:6" ht="24.75" customHeight="1" x14ac:dyDescent="0.2">
      <c r="A192" s="104" t="s">
        <v>282</v>
      </c>
      <c r="B192" s="156" t="s">
        <v>283</v>
      </c>
      <c r="C192" s="24">
        <f>+[3]BS17A!$D1204</f>
        <v>0</v>
      </c>
      <c r="D192" s="25">
        <f>+[3]BS17A!$U1204</f>
        <v>1035570</v>
      </c>
      <c r="E192" s="146">
        <f>+[3]BS17A!$V1204</f>
        <v>0</v>
      </c>
      <c r="F192" s="8"/>
    </row>
    <row r="193" spans="1:6" ht="12.75" customHeight="1" x14ac:dyDescent="0.2">
      <c r="A193" s="22" t="s">
        <v>284</v>
      </c>
      <c r="B193" s="156" t="s">
        <v>285</v>
      </c>
      <c r="C193" s="24">
        <f>+[3]BS17A!$D1205</f>
        <v>0</v>
      </c>
      <c r="D193" s="25">
        <f>+[3]BS17A!$U1205</f>
        <v>146540</v>
      </c>
      <c r="E193" s="146">
        <f>+[3]BS17A!$V1205</f>
        <v>0</v>
      </c>
      <c r="F193" s="8"/>
    </row>
    <row r="194" spans="1:6" ht="12.75" customHeight="1" x14ac:dyDescent="0.2">
      <c r="A194" s="22" t="s">
        <v>286</v>
      </c>
      <c r="B194" s="156" t="s">
        <v>287</v>
      </c>
      <c r="C194" s="24">
        <f>+[3]BS17A!$D1206</f>
        <v>0</v>
      </c>
      <c r="D194" s="25">
        <f>+[3]BS17A!$U1206</f>
        <v>334400</v>
      </c>
      <c r="E194" s="146">
        <f>+[3]BS17A!$V1206</f>
        <v>0</v>
      </c>
      <c r="F194" s="8"/>
    </row>
    <row r="195" spans="1:6" ht="12.75" customHeight="1" x14ac:dyDescent="0.2">
      <c r="A195" s="104" t="s">
        <v>288</v>
      </c>
      <c r="B195" s="156" t="s">
        <v>289</v>
      </c>
      <c r="C195" s="24">
        <f>+[3]BS17A!$D1207</f>
        <v>0</v>
      </c>
      <c r="D195" s="25">
        <f>+[3]BS17A!$U1207</f>
        <v>123970</v>
      </c>
      <c r="E195" s="146">
        <f>+[3]BS17A!$V1207</f>
        <v>0</v>
      </c>
      <c r="F195" s="8"/>
    </row>
    <row r="196" spans="1:6" ht="12.75" customHeight="1" x14ac:dyDescent="0.2">
      <c r="A196" s="104" t="s">
        <v>290</v>
      </c>
      <c r="B196" s="156" t="s">
        <v>291</v>
      </c>
      <c r="C196" s="24">
        <f>+[3]BS17A!$D1208</f>
        <v>0</v>
      </c>
      <c r="D196" s="25">
        <f>+[3]BS17A!$U1208</f>
        <v>1004460</v>
      </c>
      <c r="E196" s="146">
        <f>+[3]BS17A!$V1208</f>
        <v>0</v>
      </c>
      <c r="F196" s="8"/>
    </row>
    <row r="197" spans="1:6" ht="12.75" customHeight="1" x14ac:dyDescent="0.2">
      <c r="A197" s="104" t="s">
        <v>292</v>
      </c>
      <c r="B197" s="156" t="s">
        <v>293</v>
      </c>
      <c r="C197" s="24">
        <f>+[3]BS17A!$D1209</f>
        <v>0</v>
      </c>
      <c r="D197" s="25">
        <f>+[3]BS17A!$U1209</f>
        <v>1004460</v>
      </c>
      <c r="E197" s="146">
        <f>+[3]BS17A!$V1209</f>
        <v>0</v>
      </c>
      <c r="F197" s="8"/>
    </row>
    <row r="198" spans="1:6" ht="12.75" customHeight="1" x14ac:dyDescent="0.2">
      <c r="A198" s="104">
        <v>1801001</v>
      </c>
      <c r="B198" s="166" t="s">
        <v>294</v>
      </c>
      <c r="C198" s="24">
        <f>+[3]BS17A!$D1343</f>
        <v>43</v>
      </c>
      <c r="D198" s="25">
        <f>+[3]BS17A!$U1343</f>
        <v>29960</v>
      </c>
      <c r="E198" s="146">
        <f>+[3]BS17A!$V1343</f>
        <v>1288280</v>
      </c>
      <c r="F198" s="8"/>
    </row>
    <row r="199" spans="1:6" ht="12.75" customHeight="1" x14ac:dyDescent="0.2">
      <c r="A199" s="104">
        <v>1801003</v>
      </c>
      <c r="B199" s="156" t="s">
        <v>295</v>
      </c>
      <c r="C199" s="24">
        <f>+[3]BS17A!$D1344</f>
        <v>0</v>
      </c>
      <c r="D199" s="25">
        <f>+[3]BS17A!$U1344</f>
        <v>36140</v>
      </c>
      <c r="E199" s="146">
        <f>+[3]BS17A!$V1344</f>
        <v>0</v>
      </c>
      <c r="F199" s="8"/>
    </row>
    <row r="200" spans="1:6" ht="12.75" customHeight="1" x14ac:dyDescent="0.2">
      <c r="A200" s="104">
        <v>1801006</v>
      </c>
      <c r="B200" s="166" t="s">
        <v>296</v>
      </c>
      <c r="C200" s="24">
        <f>+[3]BS17A!$D1345</f>
        <v>2</v>
      </c>
      <c r="D200" s="25">
        <f>+[3]BS17A!$U1345</f>
        <v>38490</v>
      </c>
      <c r="E200" s="146">
        <f>+[3]BS17A!$V1345</f>
        <v>76980</v>
      </c>
      <c r="F200" s="8"/>
    </row>
    <row r="201" spans="1:6" ht="24.75" customHeight="1" x14ac:dyDescent="0.2">
      <c r="A201" s="104" t="s">
        <v>297</v>
      </c>
      <c r="B201" s="166" t="s">
        <v>298</v>
      </c>
      <c r="C201" s="24">
        <f>[3]BS17A!D1032</f>
        <v>0</v>
      </c>
      <c r="D201" s="25">
        <f>[3]BS17A!U1032</f>
        <v>8100</v>
      </c>
      <c r="E201" s="146">
        <f>[3]BS17A!V1032</f>
        <v>0</v>
      </c>
      <c r="F201" s="8"/>
    </row>
    <row r="202" spans="1:6" ht="24.75" customHeight="1" x14ac:dyDescent="0.2">
      <c r="A202" s="168" t="s">
        <v>299</v>
      </c>
      <c r="B202" s="169" t="s">
        <v>300</v>
      </c>
      <c r="C202" s="88">
        <f>[3]BS17A!D803</f>
        <v>0</v>
      </c>
      <c r="D202" s="170">
        <f>[3]BS17A!U803</f>
        <v>343800</v>
      </c>
      <c r="E202" s="171">
        <f>[3]BS17A!V803</f>
        <v>0</v>
      </c>
      <c r="F202" s="8"/>
    </row>
    <row r="203" spans="1:6" ht="17.25" customHeight="1" x14ac:dyDescent="0.2">
      <c r="A203" s="130"/>
      <c r="B203" s="131" t="s">
        <v>301</v>
      </c>
      <c r="C203" s="44">
        <f>SUM(C172:C202)</f>
        <v>1100</v>
      </c>
      <c r="D203" s="151"/>
      <c r="E203" s="152">
        <f>SUM(E172:E202)</f>
        <v>11124990</v>
      </c>
      <c r="F203" s="8"/>
    </row>
    <row r="204" spans="1:6" ht="21.75" customHeight="1" x14ac:dyDescent="0.2">
      <c r="A204" s="8"/>
      <c r="B204" s="8"/>
      <c r="C204" s="8"/>
      <c r="D204" s="8"/>
      <c r="E204" s="8"/>
      <c r="F204" s="8"/>
    </row>
    <row r="205" spans="1:6" ht="19.5" customHeight="1" x14ac:dyDescent="0.2">
      <c r="A205" s="8"/>
      <c r="B205" s="8"/>
      <c r="C205" s="8"/>
      <c r="D205" s="8"/>
      <c r="E205" s="8"/>
      <c r="F205" s="8"/>
    </row>
    <row r="206" spans="1:6" ht="18" customHeight="1" x14ac:dyDescent="0.2">
      <c r="A206" s="256" t="s">
        <v>302</v>
      </c>
      <c r="B206" s="252"/>
      <c r="C206" s="252"/>
      <c r="D206" s="252"/>
      <c r="E206" s="253"/>
      <c r="F206" s="5"/>
    </row>
    <row r="207" spans="1:6" ht="39.75" customHeight="1" x14ac:dyDescent="0.2">
      <c r="A207" s="11" t="s">
        <v>8</v>
      </c>
      <c r="B207" s="11" t="s">
        <v>9</v>
      </c>
      <c r="C207" s="12" t="s">
        <v>10</v>
      </c>
      <c r="D207" s="13" t="s">
        <v>11</v>
      </c>
      <c r="E207" s="14" t="s">
        <v>12</v>
      </c>
      <c r="F207" s="5"/>
    </row>
    <row r="208" spans="1:6" ht="12.75" customHeight="1" x14ac:dyDescent="0.2">
      <c r="A208" s="17" t="s">
        <v>303</v>
      </c>
      <c r="B208" s="42" t="s">
        <v>304</v>
      </c>
      <c r="C208" s="19">
        <f>+[3]BS17A!$D18</f>
        <v>0</v>
      </c>
      <c r="D208" s="37">
        <f>+[3]BS17A!$U18</f>
        <v>12540</v>
      </c>
      <c r="E208" s="145">
        <f>+[3]BS17A!$V18</f>
        <v>0</v>
      </c>
      <c r="F208" s="8"/>
    </row>
    <row r="209" spans="1:6" ht="12.75" customHeight="1" x14ac:dyDescent="0.2">
      <c r="A209" s="22" t="s">
        <v>305</v>
      </c>
      <c r="B209" s="23" t="s">
        <v>306</v>
      </c>
      <c r="C209" s="24">
        <f>+[3]BS17A!$D19</f>
        <v>72</v>
      </c>
      <c r="D209" s="25">
        <f>+[3]BS17A!$U19</f>
        <v>12540</v>
      </c>
      <c r="E209" s="146">
        <f>+[3]BS17A!$V19</f>
        <v>902880</v>
      </c>
      <c r="F209" s="8"/>
    </row>
    <row r="210" spans="1:6" ht="12.75" customHeight="1" x14ac:dyDescent="0.2">
      <c r="A210" s="22" t="s">
        <v>307</v>
      </c>
      <c r="B210" s="28" t="s">
        <v>308</v>
      </c>
      <c r="C210" s="24">
        <f>+[3]BS17A!$D47</f>
        <v>0</v>
      </c>
      <c r="D210" s="25">
        <f>+[3]BS17A!$U47</f>
        <v>1200</v>
      </c>
      <c r="E210" s="146">
        <f>+[3]BS17A!$V47</f>
        <v>0</v>
      </c>
      <c r="F210" s="8"/>
    </row>
    <row r="211" spans="1:6" ht="12.75" customHeight="1" x14ac:dyDescent="0.2">
      <c r="A211" s="22" t="s">
        <v>309</v>
      </c>
      <c r="B211" s="28" t="s">
        <v>310</v>
      </c>
      <c r="C211" s="24">
        <f>+[3]BS17A!$D48</f>
        <v>602</v>
      </c>
      <c r="D211" s="25">
        <f>+[3]BS17A!$U48</f>
        <v>580</v>
      </c>
      <c r="E211" s="146">
        <f>+[3]BS17A!$V48</f>
        <v>349160</v>
      </c>
      <c r="F211" s="8"/>
    </row>
    <row r="212" spans="1:6" ht="12.75" customHeight="1" x14ac:dyDescent="0.2">
      <c r="A212" s="22" t="s">
        <v>311</v>
      </c>
      <c r="B212" s="23" t="s">
        <v>312</v>
      </c>
      <c r="C212" s="24">
        <f>+[3]BS17A!$D49</f>
        <v>1129</v>
      </c>
      <c r="D212" s="25">
        <f>+[3]BS17A!$U49</f>
        <v>1780</v>
      </c>
      <c r="E212" s="146">
        <f>+[3]BS17A!$V49</f>
        <v>2009620</v>
      </c>
      <c r="F212" s="8"/>
    </row>
    <row r="213" spans="1:6" ht="12.75" customHeight="1" x14ac:dyDescent="0.2">
      <c r="A213" s="22" t="s">
        <v>313</v>
      </c>
      <c r="B213" s="23" t="s">
        <v>314</v>
      </c>
      <c r="C213" s="24">
        <f>+[3]BS17A!$D50</f>
        <v>40</v>
      </c>
      <c r="D213" s="25">
        <f>+[3]BS17A!$U50</f>
        <v>13350</v>
      </c>
      <c r="E213" s="146">
        <f>+[3]BS17A!$V50</f>
        <v>534000</v>
      </c>
      <c r="F213" s="8"/>
    </row>
    <row r="214" spans="1:6" ht="12.75" customHeight="1" x14ac:dyDescent="0.2">
      <c r="A214" s="22" t="s">
        <v>315</v>
      </c>
      <c r="B214" s="28" t="s">
        <v>316</v>
      </c>
      <c r="C214" s="24">
        <f>+[3]BS17A!$D51</f>
        <v>92</v>
      </c>
      <c r="D214" s="25">
        <f>+[3]BS17A!$U51</f>
        <v>30660</v>
      </c>
      <c r="E214" s="146">
        <f>+[3]BS17A!$V51</f>
        <v>2820720</v>
      </c>
      <c r="F214" s="8"/>
    </row>
    <row r="215" spans="1:6" ht="12.75" customHeight="1" x14ac:dyDescent="0.2">
      <c r="A215" s="104" t="s">
        <v>317</v>
      </c>
      <c r="B215" s="28" t="s">
        <v>318</v>
      </c>
      <c r="C215" s="24">
        <f>+[3]BS17A!D52</f>
        <v>17</v>
      </c>
      <c r="D215" s="172"/>
      <c r="E215" s="146">
        <f>+[3]BS17A!V52</f>
        <v>130050</v>
      </c>
      <c r="F215" s="8"/>
    </row>
    <row r="216" spans="1:6" ht="12.75" customHeight="1" x14ac:dyDescent="0.2">
      <c r="A216" s="29" t="s">
        <v>319</v>
      </c>
      <c r="B216" s="43" t="s">
        <v>320</v>
      </c>
      <c r="C216" s="31">
        <f>+[3]BS17A!$D1849</f>
        <v>58</v>
      </c>
      <c r="D216" s="40">
        <f>+[3]BS17A!$U1849</f>
        <v>24850</v>
      </c>
      <c r="E216" s="153">
        <f>+[3]BS17A!$V1849</f>
        <v>1441300</v>
      </c>
      <c r="F216" s="8"/>
    </row>
    <row r="217" spans="1:6" ht="12.75" x14ac:dyDescent="0.2">
      <c r="A217" s="130"/>
      <c r="B217" s="131" t="s">
        <v>321</v>
      </c>
      <c r="C217" s="44">
        <f>SUM(C208:C216)</f>
        <v>2010</v>
      </c>
      <c r="D217" s="151"/>
      <c r="E217" s="171">
        <f>SUM(E208:E216)</f>
        <v>8187730</v>
      </c>
      <c r="F217" s="8"/>
    </row>
    <row r="218" spans="1:6" ht="17.25" customHeight="1" x14ac:dyDescent="0.2">
      <c r="A218" s="8"/>
      <c r="B218" s="8"/>
      <c r="C218" s="8"/>
      <c r="D218" s="8"/>
      <c r="E218" s="8"/>
      <c r="F218" s="8"/>
    </row>
    <row r="219" spans="1:6" ht="18" customHeight="1" x14ac:dyDescent="0.2">
      <c r="A219" s="8"/>
      <c r="B219" s="8"/>
      <c r="C219" s="8"/>
      <c r="D219" s="8"/>
      <c r="E219" s="8"/>
      <c r="F219" s="8"/>
    </row>
    <row r="220" spans="1:6" ht="27.75" customHeight="1" x14ac:dyDescent="0.2">
      <c r="A220" s="257" t="s">
        <v>322</v>
      </c>
      <c r="B220" s="258"/>
      <c r="C220" s="259"/>
      <c r="D220" s="8"/>
      <c r="E220" s="8"/>
      <c r="F220" s="5"/>
    </row>
    <row r="221" spans="1:6" ht="36.75" customHeight="1" x14ac:dyDescent="0.2">
      <c r="A221" s="11" t="s">
        <v>8</v>
      </c>
      <c r="B221" s="11" t="s">
        <v>10</v>
      </c>
      <c r="C221" s="11" t="s">
        <v>12</v>
      </c>
      <c r="D221" s="5"/>
      <c r="E221" s="8"/>
      <c r="F221" s="8"/>
    </row>
    <row r="222" spans="1:6" ht="15" customHeight="1" x14ac:dyDescent="0.2">
      <c r="A222" s="17" t="s">
        <v>323</v>
      </c>
      <c r="B222" s="173" t="s">
        <v>324</v>
      </c>
      <c r="C222" s="174"/>
      <c r="D222" s="175"/>
      <c r="E222" s="8"/>
      <c r="F222" s="8"/>
    </row>
    <row r="223" spans="1:6" ht="15" customHeight="1" x14ac:dyDescent="0.2">
      <c r="A223" s="176" t="s">
        <v>325</v>
      </c>
      <c r="B223" s="177" t="s">
        <v>326</v>
      </c>
      <c r="C223" s="178"/>
      <c r="D223" s="175"/>
      <c r="E223" s="8"/>
      <c r="F223" s="8"/>
    </row>
    <row r="224" spans="1:6" ht="18" customHeight="1" x14ac:dyDescent="0.2">
      <c r="A224" s="179"/>
      <c r="B224" s="180" t="s">
        <v>327</v>
      </c>
      <c r="C224" s="181">
        <f>SUM(C222:C223)</f>
        <v>0</v>
      </c>
      <c r="D224" s="175"/>
      <c r="E224" s="8"/>
      <c r="F224" s="8"/>
    </row>
    <row r="225" spans="1:7" ht="18" customHeight="1" x14ac:dyDescent="0.2">
      <c r="A225" s="8"/>
      <c r="B225" s="8"/>
      <c r="C225" s="8"/>
      <c r="D225" s="175"/>
      <c r="E225" s="175"/>
      <c r="F225" s="175"/>
    </row>
    <row r="226" spans="1:7" ht="18" customHeight="1" x14ac:dyDescent="0.2">
      <c r="A226" s="8"/>
      <c r="B226" s="8"/>
      <c r="C226" s="8"/>
      <c r="D226" s="8"/>
      <c r="E226" s="8"/>
      <c r="F226" s="175"/>
      <c r="G226" s="182"/>
    </row>
    <row r="227" spans="1:7" ht="18" customHeight="1" x14ac:dyDescent="0.2">
      <c r="A227" s="256" t="s">
        <v>328</v>
      </c>
      <c r="B227" s="252"/>
      <c r="C227" s="252"/>
      <c r="D227" s="252"/>
      <c r="E227" s="253"/>
      <c r="F227" s="175"/>
      <c r="G227" s="182"/>
    </row>
    <row r="228" spans="1:7" ht="64.5" customHeight="1" x14ac:dyDescent="0.2">
      <c r="A228" s="11" t="s">
        <v>8</v>
      </c>
      <c r="B228" s="11" t="s">
        <v>9</v>
      </c>
      <c r="C228" s="12" t="s">
        <v>10</v>
      </c>
      <c r="D228" s="13" t="s">
        <v>11</v>
      </c>
      <c r="E228" s="14" t="s">
        <v>12</v>
      </c>
      <c r="F228" s="175"/>
      <c r="G228" s="182"/>
    </row>
    <row r="229" spans="1:7" ht="15" customHeight="1" x14ac:dyDescent="0.2">
      <c r="A229" s="17" t="s">
        <v>329</v>
      </c>
      <c r="B229" s="42" t="s">
        <v>330</v>
      </c>
      <c r="C229" s="154">
        <f>+[3]BS17A!$D1920</f>
        <v>291</v>
      </c>
      <c r="D229" s="37">
        <f>+[3]BS17A!$U1920</f>
        <v>17150</v>
      </c>
      <c r="E229" s="145">
        <f>+[3]BS17A!$V1920</f>
        <v>4990650</v>
      </c>
      <c r="F229" s="8"/>
    </row>
    <row r="230" spans="1:7" ht="15" customHeight="1" x14ac:dyDescent="0.2">
      <c r="A230" s="29" t="s">
        <v>331</v>
      </c>
      <c r="B230" s="43" t="s">
        <v>332</v>
      </c>
      <c r="C230" s="158">
        <f>+[3]BS17A!$D1921</f>
        <v>0</v>
      </c>
      <c r="D230" s="40">
        <f>+[3]BS17A!$U1921</f>
        <v>215070</v>
      </c>
      <c r="E230" s="153">
        <f>+[3]BS17A!$V1921</f>
        <v>0</v>
      </c>
      <c r="F230" s="8"/>
    </row>
    <row r="231" spans="1:7" ht="18" customHeight="1" x14ac:dyDescent="0.2">
      <c r="A231" s="130"/>
      <c r="B231" s="131" t="s">
        <v>333</v>
      </c>
      <c r="C231" s="44">
        <f>SUM(C229:C230)</f>
        <v>291</v>
      </c>
      <c r="D231" s="151"/>
      <c r="E231" s="152">
        <f>SUM(E229:E230)</f>
        <v>4990650</v>
      </c>
      <c r="F231" s="8"/>
    </row>
    <row r="232" spans="1:7" ht="18" customHeight="1" x14ac:dyDescent="0.2">
      <c r="A232" s="183"/>
      <c r="B232" s="184"/>
      <c r="C232" s="185"/>
      <c r="D232" s="183"/>
      <c r="E232" s="183"/>
      <c r="F232" s="8"/>
    </row>
    <row r="233" spans="1:7" ht="18" customHeight="1" x14ac:dyDescent="0.2">
      <c r="A233" s="183"/>
      <c r="B233" s="184"/>
      <c r="C233" s="185"/>
      <c r="D233" s="183"/>
      <c r="E233" s="183"/>
      <c r="F233" s="8"/>
    </row>
    <row r="234" spans="1:7" ht="18" customHeight="1" x14ac:dyDescent="0.2">
      <c r="A234" s="251" t="s">
        <v>334</v>
      </c>
      <c r="B234" s="252"/>
      <c r="C234" s="252"/>
      <c r="D234" s="252"/>
      <c r="E234" s="253"/>
      <c r="F234" s="8"/>
    </row>
    <row r="235" spans="1:7" ht="38.25" x14ac:dyDescent="0.2">
      <c r="A235" s="11" t="s">
        <v>8</v>
      </c>
      <c r="B235" s="11" t="s">
        <v>9</v>
      </c>
      <c r="C235" s="12" t="s">
        <v>10</v>
      </c>
      <c r="D235" s="13" t="s">
        <v>11</v>
      </c>
      <c r="E235" s="14" t="s">
        <v>12</v>
      </c>
      <c r="F235" s="8"/>
    </row>
    <row r="236" spans="1:7" ht="18" customHeight="1" x14ac:dyDescent="0.2">
      <c r="A236" s="142" t="s">
        <v>335</v>
      </c>
      <c r="B236" s="186" t="s">
        <v>336</v>
      </c>
      <c r="C236" s="187">
        <f>[3]BS17A!D764</f>
        <v>349</v>
      </c>
      <c r="D236" s="188"/>
      <c r="E236" s="189">
        <f>[3]BS17A!V764</f>
        <v>2009240</v>
      </c>
      <c r="F236" s="8"/>
    </row>
    <row r="237" spans="1:7" ht="18" customHeight="1" x14ac:dyDescent="0.2">
      <c r="A237" s="183"/>
      <c r="B237" s="184"/>
      <c r="C237" s="185"/>
      <c r="D237" s="183"/>
      <c r="E237" s="183"/>
      <c r="F237" s="8"/>
    </row>
    <row r="238" spans="1:7" ht="18" customHeight="1" x14ac:dyDescent="0.2">
      <c r="A238" s="251" t="s">
        <v>337</v>
      </c>
      <c r="B238" s="254"/>
      <c r="C238" s="254"/>
      <c r="D238" s="254"/>
      <c r="E238" s="255"/>
      <c r="F238" s="8"/>
    </row>
    <row r="239" spans="1:7" ht="41.25" customHeight="1" x14ac:dyDescent="0.2">
      <c r="A239" s="11" t="s">
        <v>8</v>
      </c>
      <c r="B239" s="12" t="s">
        <v>338</v>
      </c>
      <c r="C239" s="100" t="s">
        <v>339</v>
      </c>
      <c r="D239" s="13" t="s">
        <v>11</v>
      </c>
      <c r="E239" s="14" t="s">
        <v>12</v>
      </c>
      <c r="F239" s="8"/>
    </row>
    <row r="240" spans="1:7" ht="15" customHeight="1" x14ac:dyDescent="0.2">
      <c r="A240" s="190" t="s">
        <v>340</v>
      </c>
      <c r="B240" s="191" t="s">
        <v>341</v>
      </c>
      <c r="C240" s="19">
        <f>+[3]BS17A!$D1923</f>
        <v>0</v>
      </c>
      <c r="D240" s="37">
        <f>+[3]BS17A!$U1923</f>
        <v>219670</v>
      </c>
      <c r="E240" s="145">
        <f>+[3]BS17A!$V1923</f>
        <v>0</v>
      </c>
      <c r="F240" s="8"/>
    </row>
    <row r="241" spans="1:6" ht="15" customHeight="1" x14ac:dyDescent="0.2">
      <c r="A241" s="192" t="s">
        <v>342</v>
      </c>
      <c r="B241" s="193" t="s">
        <v>343</v>
      </c>
      <c r="C241" s="24">
        <f>+[3]BS17A!$D1924</f>
        <v>0</v>
      </c>
      <c r="D241" s="25">
        <f>+[3]BS17A!$U1924</f>
        <v>31220</v>
      </c>
      <c r="E241" s="146">
        <f>+[3]BS17A!$V1924</f>
        <v>0</v>
      </c>
      <c r="F241" s="8"/>
    </row>
    <row r="242" spans="1:6" ht="15" customHeight="1" x14ac:dyDescent="0.2">
      <c r="A242" s="192" t="s">
        <v>344</v>
      </c>
      <c r="B242" s="193" t="s">
        <v>345</v>
      </c>
      <c r="C242" s="24">
        <f>+[3]BS17A!$D1925</f>
        <v>0</v>
      </c>
      <c r="D242" s="25">
        <f>+[3]BS17A!$U1925</f>
        <v>117730</v>
      </c>
      <c r="E242" s="146">
        <f>+[3]BS17A!$V1925</f>
        <v>0</v>
      </c>
      <c r="F242" s="8"/>
    </row>
    <row r="243" spans="1:6" ht="15" customHeight="1" x14ac:dyDescent="0.2">
      <c r="A243" s="192" t="s">
        <v>346</v>
      </c>
      <c r="B243" s="193" t="s">
        <v>347</v>
      </c>
      <c r="C243" s="24">
        <f>+[3]BS17A!$D1926</f>
        <v>0</v>
      </c>
      <c r="D243" s="25">
        <f>+[3]BS17A!$U1926</f>
        <v>117730</v>
      </c>
      <c r="E243" s="146">
        <f>+[3]BS17A!$V1926</f>
        <v>0</v>
      </c>
      <c r="F243" s="8"/>
    </row>
    <row r="244" spans="1:6" ht="15" customHeight="1" x14ac:dyDescent="0.2">
      <c r="A244" s="192" t="s">
        <v>348</v>
      </c>
      <c r="B244" s="193" t="s">
        <v>349</v>
      </c>
      <c r="C244" s="24">
        <f>+[3]BS17A!$D1927</f>
        <v>0</v>
      </c>
      <c r="D244" s="25">
        <f>+[3]BS17A!$U1927</f>
        <v>214360</v>
      </c>
      <c r="E244" s="146">
        <f>+[3]BS17A!$V1927</f>
        <v>0</v>
      </c>
      <c r="F244" s="8"/>
    </row>
    <row r="245" spans="1:6" ht="15" customHeight="1" x14ac:dyDescent="0.2">
      <c r="A245" s="192" t="s">
        <v>350</v>
      </c>
      <c r="B245" s="193" t="s">
        <v>351</v>
      </c>
      <c r="C245" s="24">
        <f>+[3]BS17A!$D1928</f>
        <v>0</v>
      </c>
      <c r="D245" s="25">
        <f>+[3]BS17A!$U1928</f>
        <v>328960</v>
      </c>
      <c r="E245" s="146">
        <f>+[3]BS17A!$V1928</f>
        <v>0</v>
      </c>
      <c r="F245" s="8"/>
    </row>
    <row r="246" spans="1:6" ht="15" customHeight="1" x14ac:dyDescent="0.2">
      <c r="A246" s="192" t="s">
        <v>352</v>
      </c>
      <c r="B246" s="193" t="s">
        <v>353</v>
      </c>
      <c r="C246" s="24">
        <f>+[3]BS17A!$D1929</f>
        <v>0</v>
      </c>
      <c r="D246" s="25">
        <f>+[3]BS17A!$U1929</f>
        <v>561180</v>
      </c>
      <c r="E246" s="146">
        <f>+[3]BS17A!$V1929</f>
        <v>0</v>
      </c>
      <c r="F246" s="8"/>
    </row>
    <row r="247" spans="1:6" ht="15" customHeight="1" x14ac:dyDescent="0.2">
      <c r="A247" s="194" t="s">
        <v>354</v>
      </c>
      <c r="B247" s="193" t="s">
        <v>355</v>
      </c>
      <c r="C247" s="24">
        <f>+[3]BS17A!$D1930</f>
        <v>0</v>
      </c>
      <c r="D247" s="25">
        <f>+[3]BS17A!$U1930</f>
        <v>116880</v>
      </c>
      <c r="E247" s="146">
        <f>+[3]BS17A!$V1930</f>
        <v>0</v>
      </c>
      <c r="F247" s="8"/>
    </row>
    <row r="248" spans="1:6" ht="15" customHeight="1" x14ac:dyDescent="0.2">
      <c r="A248" s="194" t="s">
        <v>356</v>
      </c>
      <c r="B248" s="193" t="s">
        <v>357</v>
      </c>
      <c r="C248" s="24">
        <f>+[3]BS17A!$D1931</f>
        <v>0</v>
      </c>
      <c r="D248" s="25">
        <f>+[3]BS17A!$U1931</f>
        <v>315020</v>
      </c>
      <c r="E248" s="146">
        <f>+[3]BS17A!$V1931</f>
        <v>0</v>
      </c>
      <c r="F248" s="8"/>
    </row>
    <row r="249" spans="1:6" ht="15" customHeight="1" x14ac:dyDescent="0.2">
      <c r="A249" s="194" t="s">
        <v>358</v>
      </c>
      <c r="B249" s="193" t="s">
        <v>359</v>
      </c>
      <c r="C249" s="66">
        <f>+[3]BS17A!$D1932</f>
        <v>0</v>
      </c>
      <c r="D249" s="32">
        <f>+[3]BS17A!$U1932</f>
        <v>132640</v>
      </c>
      <c r="E249" s="195">
        <f>+[3]BS17A!$V1932</f>
        <v>0</v>
      </c>
      <c r="F249" s="8"/>
    </row>
    <row r="250" spans="1:6" ht="15" customHeight="1" x14ac:dyDescent="0.2">
      <c r="A250" s="194" t="s">
        <v>360</v>
      </c>
      <c r="B250" s="193" t="s">
        <v>361</v>
      </c>
      <c r="C250" s="66">
        <f>+[3]BS17A!$D1933</f>
        <v>0</v>
      </c>
      <c r="D250" s="32">
        <f>+[3]BS17A!$U1933</f>
        <v>115270</v>
      </c>
      <c r="E250" s="195">
        <f>+[3]BS17A!$V1933</f>
        <v>0</v>
      </c>
      <c r="F250" s="8"/>
    </row>
    <row r="251" spans="1:6" ht="15" customHeight="1" x14ac:dyDescent="0.2">
      <c r="A251" s="194" t="s">
        <v>362</v>
      </c>
      <c r="B251" s="193" t="s">
        <v>363</v>
      </c>
      <c r="C251" s="66">
        <f>+[3]BS17A!$D1934</f>
        <v>0</v>
      </c>
      <c r="D251" s="32">
        <f>+[3]BS17A!$U1934</f>
        <v>175240</v>
      </c>
      <c r="E251" s="195">
        <f>+[3]BS17A!$V1934</f>
        <v>0</v>
      </c>
      <c r="F251" s="8"/>
    </row>
    <row r="252" spans="1:6" ht="15" customHeight="1" x14ac:dyDescent="0.2">
      <c r="A252" s="194" t="s">
        <v>364</v>
      </c>
      <c r="B252" s="193" t="s">
        <v>365</v>
      </c>
      <c r="C252" s="66">
        <f>+[3]BS17A!$D1935</f>
        <v>0</v>
      </c>
      <c r="D252" s="32">
        <f>+[3]BS17A!$U1935</f>
        <v>46120</v>
      </c>
      <c r="E252" s="195">
        <f>+[3]BS17A!$V1935</f>
        <v>0</v>
      </c>
      <c r="F252" s="8"/>
    </row>
    <row r="253" spans="1:6" ht="15" customHeight="1" x14ac:dyDescent="0.2">
      <c r="A253" s="196" t="s">
        <v>366</v>
      </c>
      <c r="B253" s="197" t="s">
        <v>367</v>
      </c>
      <c r="C253" s="31">
        <f>+[3]BS17A!$D1936</f>
        <v>0</v>
      </c>
      <c r="D253" s="40">
        <f>+[3]BS17A!$U1936</f>
        <v>34460</v>
      </c>
      <c r="E253" s="153">
        <f>+[3]BS17A!$V1936</f>
        <v>0</v>
      </c>
      <c r="F253" s="8"/>
    </row>
    <row r="254" spans="1:6" ht="15" customHeight="1" x14ac:dyDescent="0.2">
      <c r="A254" s="242" t="s">
        <v>368</v>
      </c>
      <c r="B254" s="243"/>
      <c r="C254" s="243"/>
      <c r="D254" s="243"/>
      <c r="E254" s="244"/>
      <c r="F254" s="8"/>
    </row>
    <row r="255" spans="1:6" ht="15" customHeight="1" x14ac:dyDescent="0.2">
      <c r="A255" s="17" t="s">
        <v>369</v>
      </c>
      <c r="B255" s="198" t="s">
        <v>341</v>
      </c>
      <c r="C255" s="19">
        <f>+[3]BS17A!$D1937</f>
        <v>0</v>
      </c>
      <c r="D255" s="37">
        <f>+[3]BS17A!$U1937</f>
        <v>188970</v>
      </c>
      <c r="E255" s="145">
        <f>+[3]BS17A!$V1937</f>
        <v>0</v>
      </c>
      <c r="F255" s="8"/>
    </row>
    <row r="256" spans="1:6" ht="15" customHeight="1" x14ac:dyDescent="0.2">
      <c r="A256" s="22" t="s">
        <v>370</v>
      </c>
      <c r="B256" s="34" t="s">
        <v>371</v>
      </c>
      <c r="C256" s="24">
        <f>+[3]BS17A!$D1938</f>
        <v>0</v>
      </c>
      <c r="D256" s="25">
        <f>+[3]BS17A!$U1938</f>
        <v>1124200</v>
      </c>
      <c r="E256" s="146">
        <f>+[3]BS17A!$V1938</f>
        <v>0</v>
      </c>
      <c r="F256" s="8"/>
    </row>
    <row r="257" spans="1:6" ht="15" customHeight="1" x14ac:dyDescent="0.2">
      <c r="A257" s="22" t="s">
        <v>372</v>
      </c>
      <c r="B257" s="34" t="s">
        <v>373</v>
      </c>
      <c r="C257" s="24">
        <f>+[3]BS17A!$D1939</f>
        <v>0</v>
      </c>
      <c r="D257" s="25">
        <f>+[3]BS17A!$U1939</f>
        <v>169610</v>
      </c>
      <c r="E257" s="146">
        <f>+[3]BS17A!$V1939</f>
        <v>0</v>
      </c>
      <c r="F257" s="8"/>
    </row>
    <row r="258" spans="1:6" ht="15" customHeight="1" x14ac:dyDescent="0.2">
      <c r="A258" s="22" t="s">
        <v>374</v>
      </c>
      <c r="B258" s="34" t="s">
        <v>375</v>
      </c>
      <c r="C258" s="24">
        <f>+[3]BS17A!$D1940</f>
        <v>0</v>
      </c>
      <c r="D258" s="25">
        <f>+[3]BS17A!$U1940</f>
        <v>149990</v>
      </c>
      <c r="E258" s="146">
        <f>+[3]BS17A!$V1940</f>
        <v>0</v>
      </c>
      <c r="F258" s="8"/>
    </row>
    <row r="259" spans="1:6" ht="15" customHeight="1" x14ac:dyDescent="0.2">
      <c r="A259" s="22" t="s">
        <v>376</v>
      </c>
      <c r="B259" s="34" t="s">
        <v>377</v>
      </c>
      <c r="C259" s="24">
        <f>+[3]BS17A!$D1941</f>
        <v>0</v>
      </c>
      <c r="D259" s="25">
        <f>+[3]BS17A!$U1941</f>
        <v>304480</v>
      </c>
      <c r="E259" s="146">
        <f>+[3]BS17A!$V1941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24">
        <f>+[3]BS17A!$D1942</f>
        <v>0</v>
      </c>
      <c r="D260" s="25">
        <f>+[3]BS17A!$U1942</f>
        <v>1012520</v>
      </c>
      <c r="E260" s="146">
        <f>+[3]BS17A!$V1942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24">
        <f>+[3]BS17A!$D1943</f>
        <v>0</v>
      </c>
      <c r="D261" s="25">
        <f>+[3]BS17A!$U1943</f>
        <v>1040530</v>
      </c>
      <c r="E261" s="146">
        <f>+[3]BS17A!$V1943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24">
        <f>+[3]BS17A!$D1944</f>
        <v>0</v>
      </c>
      <c r="D262" s="25">
        <f>+[3]BS17A!$U1944</f>
        <v>823870</v>
      </c>
      <c r="E262" s="146">
        <f>+[3]BS17A!$V1944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24">
        <f>+[3]BS17A!$D1945</f>
        <v>0</v>
      </c>
      <c r="D263" s="25">
        <f>+[3]BS17A!$U1945</f>
        <v>868290</v>
      </c>
      <c r="E263" s="146">
        <f>+[3]BS17A!$V1945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24">
        <f>+[3]BS17A!$D1946</f>
        <v>0</v>
      </c>
      <c r="D264" s="25">
        <f>+[3]BS17A!$U1946</f>
        <v>342530</v>
      </c>
      <c r="E264" s="146">
        <f>+[3]BS17A!$V1946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24">
        <f>+[3]BS17A!$D1947</f>
        <v>0</v>
      </c>
      <c r="D265" s="25">
        <f>+[3]BS17A!$U1947</f>
        <v>82030</v>
      </c>
      <c r="E265" s="146">
        <f>+[3]BS17A!$V1947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24">
        <f>+[3]BS17A!$D1948</f>
        <v>0</v>
      </c>
      <c r="D266" s="25">
        <f>+[3]BS17A!$U1948</f>
        <v>244730</v>
      </c>
      <c r="E266" s="146">
        <f>+[3]BS17A!$V1948</f>
        <v>0</v>
      </c>
      <c r="F266" s="8"/>
    </row>
    <row r="267" spans="1:6" ht="15" customHeight="1" x14ac:dyDescent="0.2">
      <c r="A267" s="22" t="s">
        <v>392</v>
      </c>
      <c r="B267" s="23" t="s">
        <v>393</v>
      </c>
      <c r="C267" s="24">
        <f>+[3]BS17A!$D1949</f>
        <v>0</v>
      </c>
      <c r="D267" s="25">
        <f>+[3]BS17A!$U1949</f>
        <v>69200</v>
      </c>
      <c r="E267" s="146">
        <f>+[3]BS17A!$V1949</f>
        <v>0</v>
      </c>
      <c r="F267" s="8"/>
    </row>
    <row r="268" spans="1:6" ht="15" customHeight="1" x14ac:dyDescent="0.2">
      <c r="A268" s="22" t="s">
        <v>394</v>
      </c>
      <c r="B268" s="23" t="s">
        <v>395</v>
      </c>
      <c r="C268" s="24">
        <f>+[3]BS17A!$D1950</f>
        <v>0</v>
      </c>
      <c r="D268" s="25">
        <f>+[3]BS17A!$U1950</f>
        <v>1189020</v>
      </c>
      <c r="E268" s="146">
        <f>+[3]BS17A!$V1950</f>
        <v>0</v>
      </c>
      <c r="F268" s="8"/>
    </row>
    <row r="269" spans="1:6" ht="15" customHeight="1" x14ac:dyDescent="0.2">
      <c r="A269" s="22" t="s">
        <v>396</v>
      </c>
      <c r="B269" s="23" t="s">
        <v>397</v>
      </c>
      <c r="C269" s="24">
        <f>+[3]BS17A!$D1951</f>
        <v>0</v>
      </c>
      <c r="D269" s="25">
        <f>+[3]BS17A!$U1951</f>
        <v>278030</v>
      </c>
      <c r="E269" s="146">
        <f>+[3]BS17A!$V1951</f>
        <v>0</v>
      </c>
      <c r="F269" s="8"/>
    </row>
    <row r="270" spans="1:6" ht="15" customHeight="1" x14ac:dyDescent="0.2">
      <c r="A270" s="22" t="s">
        <v>398</v>
      </c>
      <c r="B270" s="23" t="s">
        <v>399</v>
      </c>
      <c r="C270" s="24">
        <f>+[3]BS17A!$D1952</f>
        <v>0</v>
      </c>
      <c r="D270" s="25">
        <f>+[3]BS17A!$U1952</f>
        <v>931380</v>
      </c>
      <c r="E270" s="146">
        <f>+[3]BS17A!$V1952</f>
        <v>0</v>
      </c>
      <c r="F270" s="8"/>
    </row>
    <row r="271" spans="1:6" ht="15" customHeight="1" x14ac:dyDescent="0.2">
      <c r="A271" s="22" t="s">
        <v>400</v>
      </c>
      <c r="B271" s="30" t="s">
        <v>401</v>
      </c>
      <c r="C271" s="24">
        <f>+[3]BS17A!$D1953</f>
        <v>0</v>
      </c>
      <c r="D271" s="25">
        <f>+[3]BS17A!$U1953</f>
        <v>570190</v>
      </c>
      <c r="E271" s="146">
        <f>+[3]BS17A!$V1953</f>
        <v>0</v>
      </c>
      <c r="F271" s="8"/>
    </row>
    <row r="272" spans="1:6" ht="15" customHeight="1" x14ac:dyDescent="0.2">
      <c r="A272" s="29" t="s">
        <v>402</v>
      </c>
      <c r="B272" s="30" t="s">
        <v>403</v>
      </c>
      <c r="C272" s="31">
        <f>+[3]BS17A!$D1954</f>
        <v>0</v>
      </c>
      <c r="D272" s="32">
        <f>+[3]BS17A!$U1954</f>
        <v>465310</v>
      </c>
      <c r="E272" s="195">
        <f>+[3]BS17A!$V1954</f>
        <v>0</v>
      </c>
      <c r="F272" s="8"/>
    </row>
    <row r="273" spans="1:10" ht="15" customHeight="1" x14ac:dyDescent="0.2">
      <c r="A273" s="242" t="s">
        <v>404</v>
      </c>
      <c r="B273" s="243"/>
      <c r="C273" s="243"/>
      <c r="D273" s="243"/>
      <c r="E273" s="244"/>
      <c r="F273" s="8"/>
    </row>
    <row r="274" spans="1:10" ht="15" customHeight="1" x14ac:dyDescent="0.2">
      <c r="A274" s="17" t="s">
        <v>405</v>
      </c>
      <c r="B274" s="18" t="s">
        <v>406</v>
      </c>
      <c r="C274" s="70">
        <f>+[3]BS17A!$D1955</f>
        <v>0</v>
      </c>
      <c r="D274" s="20">
        <f>[3]BS17A!U1955</f>
        <v>250830</v>
      </c>
      <c r="E274" s="199">
        <f>+[3]BS17A!$V1955</f>
        <v>0</v>
      </c>
      <c r="F274" s="8"/>
    </row>
    <row r="275" spans="1:10" ht="15" customHeight="1" x14ac:dyDescent="0.2">
      <c r="A275" s="22" t="s">
        <v>407</v>
      </c>
      <c r="B275" s="23" t="s">
        <v>408</v>
      </c>
      <c r="C275" s="24">
        <f>+[3]BS17A!$D1956</f>
        <v>0</v>
      </c>
      <c r="D275" s="25">
        <f>[3]BS17A!U1956</f>
        <v>146240</v>
      </c>
      <c r="E275" s="146">
        <f>+[3]BS17A!$V1956</f>
        <v>0</v>
      </c>
      <c r="F275" s="8"/>
    </row>
    <row r="276" spans="1:10" ht="15" customHeight="1" x14ac:dyDescent="0.2">
      <c r="A276" s="22" t="s">
        <v>409</v>
      </c>
      <c r="B276" s="23" t="s">
        <v>410</v>
      </c>
      <c r="C276" s="24">
        <f>+[3]BS17A!$D1957</f>
        <v>0</v>
      </c>
      <c r="D276" s="25">
        <f>[3]BS17A!U1957</f>
        <v>353360</v>
      </c>
      <c r="E276" s="146">
        <f>+[3]BS17A!$V1957</f>
        <v>0</v>
      </c>
      <c r="F276" s="8"/>
    </row>
    <row r="277" spans="1:10" ht="15" customHeight="1" x14ac:dyDescent="0.2">
      <c r="A277" s="22" t="s">
        <v>411</v>
      </c>
      <c r="B277" s="23" t="s">
        <v>412</v>
      </c>
      <c r="C277" s="24">
        <f>+[3]BS17A!$D1958</f>
        <v>0</v>
      </c>
      <c r="D277" s="25">
        <f>[3]BS17A!U1958</f>
        <v>366190</v>
      </c>
      <c r="E277" s="146">
        <f>+[3]BS17A!$V1958</f>
        <v>0</v>
      </c>
      <c r="F277" s="8"/>
    </row>
    <row r="278" spans="1:10" ht="15" customHeight="1" x14ac:dyDescent="0.2">
      <c r="A278" s="29" t="s">
        <v>413</v>
      </c>
      <c r="B278" s="39" t="s">
        <v>414</v>
      </c>
      <c r="C278" s="31">
        <f>+[3]BS17A!$D1959</f>
        <v>0</v>
      </c>
      <c r="D278" s="40">
        <f>[3]BS17A!U1959</f>
        <v>228810</v>
      </c>
      <c r="E278" s="153">
        <f>+[3]BS17A!$V1959</f>
        <v>0</v>
      </c>
      <c r="F278" s="200"/>
    </row>
    <row r="279" spans="1:10" ht="15" customHeight="1" x14ac:dyDescent="0.2">
      <c r="A279" s="201" t="s">
        <v>415</v>
      </c>
      <c r="B279" s="202" t="s">
        <v>416</v>
      </c>
      <c r="C279" s="203">
        <f>+[3]BS17A!$D1960</f>
        <v>93</v>
      </c>
      <c r="D279" s="204">
        <f>[3]BS17A!U1960</f>
        <v>31110</v>
      </c>
      <c r="E279" s="189">
        <f>+[3]BS17A!$V1960</f>
        <v>2893230</v>
      </c>
      <c r="F279" s="200"/>
    </row>
    <row r="280" spans="1:10" ht="15" customHeight="1" x14ac:dyDescent="0.2">
      <c r="A280" s="130"/>
      <c r="B280" s="205" t="s">
        <v>417</v>
      </c>
      <c r="C280" s="44">
        <f>SUM(C240:C279)</f>
        <v>93</v>
      </c>
      <c r="D280" s="151"/>
      <c r="E280" s="152">
        <f>SUM(E240:E279)</f>
        <v>2893230</v>
      </c>
      <c r="F280" s="200"/>
    </row>
    <row r="281" spans="1:10" ht="18" customHeight="1" x14ac:dyDescent="0.2">
      <c r="A281" s="183"/>
      <c r="B281" s="8"/>
      <c r="C281" s="8"/>
      <c r="D281" s="183"/>
      <c r="E281" s="183"/>
      <c r="F281" s="8"/>
    </row>
    <row r="282" spans="1:10" ht="18" customHeight="1" x14ac:dyDescent="0.2">
      <c r="A282" s="183"/>
      <c r="B282" s="185"/>
      <c r="C282" s="185"/>
      <c r="D282" s="183"/>
      <c r="E282" s="183"/>
      <c r="F282" s="206"/>
      <c r="G282" s="207"/>
      <c r="J282" s="208"/>
    </row>
    <row r="283" spans="1:10" ht="12.75" customHeight="1" x14ac:dyDescent="0.2">
      <c r="A283" s="251" t="s">
        <v>418</v>
      </c>
      <c r="B283" s="254"/>
      <c r="C283" s="254"/>
      <c r="D283" s="254"/>
      <c r="E283" s="255"/>
      <c r="F283" s="8"/>
    </row>
    <row r="284" spans="1:10" ht="44.25" customHeight="1" x14ac:dyDescent="0.2">
      <c r="A284" s="11" t="s">
        <v>8</v>
      </c>
      <c r="B284" s="11" t="s">
        <v>418</v>
      </c>
      <c r="C284" s="12" t="s">
        <v>339</v>
      </c>
      <c r="D284" s="13" t="s">
        <v>11</v>
      </c>
      <c r="E284" s="14" t="s">
        <v>12</v>
      </c>
      <c r="F284" s="200"/>
    </row>
    <row r="285" spans="1:10" ht="15" customHeight="1" x14ac:dyDescent="0.2">
      <c r="A285" s="17" t="s">
        <v>419</v>
      </c>
      <c r="B285" s="209" t="s">
        <v>420</v>
      </c>
      <c r="C285" s="19">
        <f>+[3]BS17A!$D1962</f>
        <v>6</v>
      </c>
      <c r="D285" s="37">
        <f>+[3]BS17A!$U1962</f>
        <v>6120</v>
      </c>
      <c r="E285" s="145">
        <f>+[3]BS17A!$V1962</f>
        <v>36720</v>
      </c>
      <c r="F285" s="8"/>
    </row>
    <row r="286" spans="1:10" ht="15" customHeight="1" x14ac:dyDescent="0.2">
      <c r="A286" s="22" t="s">
        <v>421</v>
      </c>
      <c r="B286" s="210" t="s">
        <v>422</v>
      </c>
      <c r="C286" s="24">
        <f>+[3]BS17A!$D1963</f>
        <v>0</v>
      </c>
      <c r="D286" s="25">
        <f>+[3]BS17A!$U1963</f>
        <v>3260</v>
      </c>
      <c r="E286" s="146">
        <f>+[3]BS17A!$V1963</f>
        <v>0</v>
      </c>
      <c r="F286" s="8"/>
    </row>
    <row r="287" spans="1:10" ht="15" customHeight="1" x14ac:dyDescent="0.2">
      <c r="A287" s="22" t="s">
        <v>423</v>
      </c>
      <c r="B287" s="210" t="s">
        <v>424</v>
      </c>
      <c r="C287" s="24">
        <f>+[3]BS17A!$D1964</f>
        <v>5</v>
      </c>
      <c r="D287" s="25">
        <f>+[3]BS17A!$U1964</f>
        <v>12280</v>
      </c>
      <c r="E287" s="146">
        <f>+[3]BS17A!$V1964</f>
        <v>61400</v>
      </c>
      <c r="F287" s="8"/>
    </row>
    <row r="288" spans="1:10" ht="15" customHeight="1" x14ac:dyDescent="0.2">
      <c r="A288" s="22" t="s">
        <v>425</v>
      </c>
      <c r="B288" s="210" t="s">
        <v>426</v>
      </c>
      <c r="C288" s="24">
        <f>+[3]BS17A!$D1965</f>
        <v>0</v>
      </c>
      <c r="D288" s="25">
        <f>+[3]BS17A!$U1965</f>
        <v>125980</v>
      </c>
      <c r="E288" s="146">
        <f>+[3]BS17A!$V1965</f>
        <v>0</v>
      </c>
      <c r="F288" s="8"/>
    </row>
    <row r="289" spans="1:7" ht="15" customHeight="1" x14ac:dyDescent="0.2">
      <c r="A289" s="29" t="s">
        <v>427</v>
      </c>
      <c r="B289" s="211" t="s">
        <v>428</v>
      </c>
      <c r="C289" s="31">
        <f>+[3]BS17A!$D1966</f>
        <v>0</v>
      </c>
      <c r="D289" s="40">
        <f>+[3]BS17A!$U1966</f>
        <v>691940</v>
      </c>
      <c r="E289" s="153">
        <f>+[3]BS17A!$V1966</f>
        <v>0</v>
      </c>
      <c r="F289" s="8"/>
    </row>
    <row r="290" spans="1:7" ht="15" customHeight="1" x14ac:dyDescent="0.2">
      <c r="A290" s="130"/>
      <c r="B290" s="131" t="s">
        <v>429</v>
      </c>
      <c r="C290" s="56">
        <f>SUM(C285:C289)</f>
        <v>11</v>
      </c>
      <c r="D290" s="57"/>
      <c r="E290" s="107">
        <f>SUM(E285:E289)</f>
        <v>98120</v>
      </c>
      <c r="F290" s="8"/>
    </row>
    <row r="291" spans="1:7" ht="18" customHeight="1" x14ac:dyDescent="0.2">
      <c r="A291" s="183"/>
      <c r="B291" s="185"/>
      <c r="C291" s="183"/>
      <c r="D291" s="183"/>
      <c r="E291" s="183"/>
      <c r="F291" s="8"/>
    </row>
    <row r="292" spans="1:7" ht="18" customHeight="1" x14ac:dyDescent="0.2">
      <c r="A292" s="183"/>
      <c r="B292" s="185"/>
      <c r="C292" s="183"/>
      <c r="D292" s="183"/>
      <c r="E292" s="183"/>
      <c r="F292" s="212"/>
      <c r="G292" s="10"/>
    </row>
    <row r="293" spans="1:7" ht="12.75" x14ac:dyDescent="0.2">
      <c r="A293" s="242" t="s">
        <v>430</v>
      </c>
      <c r="B293" s="243"/>
      <c r="C293" s="243"/>
      <c r="D293" s="243"/>
      <c r="E293" s="244"/>
      <c r="F293" s="213"/>
      <c r="G293" s="10"/>
    </row>
    <row r="294" spans="1:7" ht="36.75" customHeight="1" x14ac:dyDescent="0.2">
      <c r="A294" s="11" t="s">
        <v>8</v>
      </c>
      <c r="B294" s="214" t="s">
        <v>430</v>
      </c>
      <c r="C294" s="215" t="s">
        <v>431</v>
      </c>
      <c r="D294" s="13" t="s">
        <v>11</v>
      </c>
      <c r="E294" s="14" t="s">
        <v>12</v>
      </c>
      <c r="F294" s="213"/>
      <c r="G294" s="10"/>
    </row>
    <row r="295" spans="1:7" ht="15" customHeight="1" x14ac:dyDescent="0.2">
      <c r="A295" s="17" t="s">
        <v>432</v>
      </c>
      <c r="B295" s="36" t="s">
        <v>433</v>
      </c>
      <c r="C295" s="19">
        <f>+[3]BS17A!$D1851</f>
        <v>266</v>
      </c>
      <c r="D295" s="37">
        <f>+[3]BS17A!$U1851</f>
        <v>16380</v>
      </c>
      <c r="E295" s="145">
        <f>+[3]BS17A!$V1851</f>
        <v>4357080</v>
      </c>
      <c r="F295" s="8"/>
    </row>
    <row r="296" spans="1:7" ht="15" customHeight="1" x14ac:dyDescent="0.2">
      <c r="A296" s="22" t="s">
        <v>434</v>
      </c>
      <c r="B296" s="28" t="s">
        <v>435</v>
      </c>
      <c r="C296" s="24">
        <f>+[3]BS17A!$D1852</f>
        <v>156</v>
      </c>
      <c r="D296" s="25">
        <f>+[3]BS17A!$U1852</f>
        <v>51500</v>
      </c>
      <c r="E296" s="146">
        <f>+[3]BS17A!$V1852</f>
        <v>8034000</v>
      </c>
      <c r="F296" s="8"/>
    </row>
    <row r="297" spans="1:7" ht="15" customHeight="1" x14ac:dyDescent="0.2">
      <c r="A297" s="22" t="s">
        <v>436</v>
      </c>
      <c r="B297" s="28" t="s">
        <v>437</v>
      </c>
      <c r="C297" s="24">
        <f>+[3]BS17A!$D1853</f>
        <v>0</v>
      </c>
      <c r="D297" s="25">
        <f>+[3]BS17A!$U1853</f>
        <v>63840</v>
      </c>
      <c r="E297" s="146">
        <f>+[3]BS17A!$V1853</f>
        <v>0</v>
      </c>
      <c r="F297" s="8"/>
    </row>
    <row r="298" spans="1:7" ht="15" customHeight="1" x14ac:dyDescent="0.2">
      <c r="A298" s="22" t="s">
        <v>438</v>
      </c>
      <c r="B298" s="28" t="s">
        <v>439</v>
      </c>
      <c r="C298" s="24">
        <f>+[3]BS17A!$D1854</f>
        <v>187</v>
      </c>
      <c r="D298" s="25">
        <f>+[3]BS17A!$U1854</f>
        <v>2250</v>
      </c>
      <c r="E298" s="146">
        <f>+[3]BS17A!$V1854</f>
        <v>420750</v>
      </c>
      <c r="F298" s="8"/>
    </row>
    <row r="299" spans="1:7" ht="15" customHeight="1" x14ac:dyDescent="0.2">
      <c r="A299" s="22" t="s">
        <v>440</v>
      </c>
      <c r="B299" s="28" t="s">
        <v>441</v>
      </c>
      <c r="C299" s="24">
        <f>+[3]BS17A!$D1855</f>
        <v>0</v>
      </c>
      <c r="D299" s="25">
        <f>+[3]BS17A!$U1855</f>
        <v>70</v>
      </c>
      <c r="E299" s="146">
        <f>+[3]BS17A!$V1855</f>
        <v>0</v>
      </c>
      <c r="F299" s="8"/>
    </row>
    <row r="300" spans="1:7" ht="15" customHeight="1" x14ac:dyDescent="0.2">
      <c r="A300" s="22" t="s">
        <v>442</v>
      </c>
      <c r="B300" s="23" t="s">
        <v>443</v>
      </c>
      <c r="C300" s="24">
        <f>+[3]BS17A!$D1856</f>
        <v>0</v>
      </c>
      <c r="D300" s="25">
        <f>+[3]BS17A!$U1856</f>
        <v>135560</v>
      </c>
      <c r="E300" s="146">
        <f>+[3]BS17A!$V1856</f>
        <v>0</v>
      </c>
      <c r="F300" s="8"/>
    </row>
    <row r="301" spans="1:7" ht="15" customHeight="1" x14ac:dyDescent="0.2">
      <c r="A301" s="29" t="s">
        <v>444</v>
      </c>
      <c r="B301" s="43" t="s">
        <v>445</v>
      </c>
      <c r="C301" s="31">
        <f>+[3]BS17A!$D1857</f>
        <v>0</v>
      </c>
      <c r="D301" s="40">
        <f>+[3]BS17A!$U1857</f>
        <v>9220</v>
      </c>
      <c r="E301" s="153">
        <f>+[3]BS17A!$V1857</f>
        <v>0</v>
      </c>
      <c r="F301" s="8"/>
    </row>
    <row r="302" spans="1:7" ht="15" customHeight="1" x14ac:dyDescent="0.2">
      <c r="A302" s="96"/>
      <c r="B302" s="246" t="s">
        <v>446</v>
      </c>
      <c r="C302" s="247"/>
      <c r="D302" s="188"/>
      <c r="E302" s="217">
        <f>SUM(E295:E301)</f>
        <v>12811830</v>
      </c>
      <c r="F302" s="8"/>
    </row>
    <row r="303" spans="1:7" ht="12.75" x14ac:dyDescent="0.2">
      <c r="A303" s="8"/>
      <c r="B303" s="8"/>
      <c r="C303" s="8"/>
      <c r="D303" s="8"/>
      <c r="E303" s="8"/>
      <c r="F303" s="175"/>
      <c r="G303" s="182"/>
    </row>
    <row r="304" spans="1:7" ht="12.75" x14ac:dyDescent="0.2">
      <c r="A304" s="8"/>
      <c r="B304" s="8"/>
      <c r="C304" s="8"/>
      <c r="D304" s="8"/>
      <c r="E304" s="8"/>
      <c r="F304" s="175"/>
      <c r="G304" s="182"/>
    </row>
    <row r="305" spans="1:7" ht="12.75" x14ac:dyDescent="0.2">
      <c r="A305" s="239" t="s">
        <v>447</v>
      </c>
      <c r="B305" s="240"/>
      <c r="C305" s="240"/>
      <c r="D305" s="240"/>
      <c r="E305" s="241"/>
      <c r="F305" s="175"/>
      <c r="G305" s="182"/>
    </row>
    <row r="306" spans="1:7" ht="12.75" x14ac:dyDescent="0.2">
      <c r="A306" s="218"/>
      <c r="B306" s="248" t="s">
        <v>448</v>
      </c>
      <c r="C306" s="249"/>
      <c r="D306" s="250"/>
      <c r="E306" s="219">
        <f>+E231+E236+E280+E290+E302</f>
        <v>22803070</v>
      </c>
      <c r="F306" s="8"/>
    </row>
    <row r="307" spans="1:7" ht="12.75" x14ac:dyDescent="0.2">
      <c r="A307" s="8"/>
      <c r="B307" s="8"/>
      <c r="C307" s="8"/>
      <c r="D307" s="8"/>
      <c r="E307" s="8"/>
      <c r="F307" s="175"/>
      <c r="G307" s="182"/>
    </row>
    <row r="308" spans="1:7" ht="12.75" x14ac:dyDescent="0.2">
      <c r="A308" s="8"/>
      <c r="B308" s="8"/>
      <c r="C308" s="8"/>
      <c r="D308" s="8"/>
      <c r="E308" s="8"/>
      <c r="F308" s="175"/>
      <c r="G308" s="182"/>
    </row>
    <row r="309" spans="1:7" ht="12.75" x14ac:dyDescent="0.2">
      <c r="A309" s="239" t="s">
        <v>449</v>
      </c>
      <c r="B309" s="240"/>
      <c r="C309" s="240"/>
      <c r="D309" s="240"/>
      <c r="E309" s="241"/>
      <c r="F309" s="175"/>
      <c r="G309" s="182"/>
    </row>
    <row r="310" spans="1:7" ht="25.5" x14ac:dyDescent="0.2">
      <c r="A310" s="242" t="s">
        <v>450</v>
      </c>
      <c r="B310" s="243"/>
      <c r="C310" s="243"/>
      <c r="D310" s="244"/>
      <c r="E310" s="11" t="s">
        <v>12</v>
      </c>
      <c r="F310" s="175"/>
      <c r="G310" s="182"/>
    </row>
    <row r="311" spans="1:7" ht="15" customHeight="1" x14ac:dyDescent="0.2">
      <c r="A311" s="218"/>
      <c r="B311" s="248" t="s">
        <v>451</v>
      </c>
      <c r="C311" s="249"/>
      <c r="D311" s="250"/>
      <c r="E311" s="219">
        <f>+E50+E76+E84+F109+E116+C121+E148+E155+E167+E203+E217+C224+E306</f>
        <v>614848860</v>
      </c>
      <c r="F311" s="175"/>
      <c r="G311" s="182"/>
    </row>
    <row r="312" spans="1:7" ht="18" customHeight="1" x14ac:dyDescent="0.2">
      <c r="A312" s="8"/>
      <c r="B312" s="8"/>
      <c r="C312" s="8"/>
      <c r="D312" s="8"/>
      <c r="E312" s="8"/>
      <c r="F312" s="5"/>
    </row>
    <row r="313" spans="1:7" ht="18" customHeight="1" x14ac:dyDescent="0.2">
      <c r="A313" s="8"/>
      <c r="B313" s="8"/>
      <c r="C313" s="8"/>
      <c r="D313" s="8"/>
      <c r="E313" s="8"/>
      <c r="F313" s="5"/>
    </row>
    <row r="314" spans="1:7" ht="18" customHeight="1" x14ac:dyDescent="0.2">
      <c r="A314" s="239" t="s">
        <v>452</v>
      </c>
      <c r="B314" s="240"/>
      <c r="C314" s="241"/>
      <c r="D314" s="8"/>
      <c r="E314" s="8"/>
      <c r="F314" s="5"/>
    </row>
    <row r="315" spans="1:7" ht="18" customHeight="1" x14ac:dyDescent="0.2">
      <c r="A315" s="242" t="s">
        <v>453</v>
      </c>
      <c r="B315" s="243"/>
      <c r="C315" s="244"/>
      <c r="D315" s="8"/>
      <c r="E315" s="8"/>
      <c r="F315" s="5"/>
    </row>
    <row r="316" spans="1:7" ht="30.75" customHeight="1" x14ac:dyDescent="0.2">
      <c r="A316" s="239" t="s">
        <v>454</v>
      </c>
      <c r="B316" s="240"/>
      <c r="C316" s="11" t="s">
        <v>455</v>
      </c>
      <c r="D316" s="8"/>
      <c r="E316" s="8"/>
      <c r="F316" s="8"/>
    </row>
    <row r="317" spans="1:7" ht="15" customHeight="1" x14ac:dyDescent="0.2">
      <c r="A317" s="220" t="s">
        <v>456</v>
      </c>
      <c r="B317" s="191"/>
      <c r="C317" s="221"/>
      <c r="D317" s="8"/>
      <c r="E317" s="8"/>
      <c r="F317" s="8"/>
    </row>
    <row r="318" spans="1:7" ht="15" customHeight="1" x14ac:dyDescent="0.2">
      <c r="A318" s="24" t="s">
        <v>457</v>
      </c>
      <c r="B318" s="193"/>
      <c r="C318" s="222"/>
      <c r="D318" s="8"/>
      <c r="E318" s="8"/>
      <c r="F318" s="8"/>
    </row>
    <row r="319" spans="1:7" ht="15" customHeight="1" x14ac:dyDescent="0.2">
      <c r="A319" s="24" t="s">
        <v>458</v>
      </c>
      <c r="B319" s="193"/>
      <c r="C319" s="222"/>
      <c r="D319" s="8"/>
      <c r="E319" s="8"/>
      <c r="F319" s="8"/>
    </row>
    <row r="320" spans="1:7" ht="15" customHeight="1" x14ac:dyDescent="0.2">
      <c r="A320" s="223" t="s">
        <v>459</v>
      </c>
      <c r="B320" s="193"/>
      <c r="C320" s="222"/>
      <c r="D320" s="8"/>
      <c r="E320" s="8"/>
      <c r="F320" s="8"/>
    </row>
    <row r="321" spans="1:6" ht="15" customHeight="1" x14ac:dyDescent="0.2">
      <c r="A321" s="224" t="s">
        <v>460</v>
      </c>
      <c r="B321" s="225"/>
      <c r="C321" s="226">
        <f>SUM(C317:C320)</f>
        <v>0</v>
      </c>
      <c r="D321" s="8"/>
      <c r="E321" s="8"/>
      <c r="F321" s="8"/>
    </row>
    <row r="322" spans="1:6" ht="15" customHeight="1" x14ac:dyDescent="0.2">
      <c r="A322" s="19" t="s">
        <v>461</v>
      </c>
      <c r="B322" s="227"/>
      <c r="C322" s="221">
        <v>3044527</v>
      </c>
      <c r="D322" s="8"/>
      <c r="E322" s="8"/>
      <c r="F322" s="8"/>
    </row>
    <row r="323" spans="1:6" ht="15" customHeight="1" x14ac:dyDescent="0.2">
      <c r="A323" s="228" t="s">
        <v>462</v>
      </c>
      <c r="B323" s="229"/>
      <c r="C323" s="222"/>
      <c r="D323" s="8"/>
      <c r="E323" s="8"/>
      <c r="F323" s="8"/>
    </row>
    <row r="324" spans="1:6" ht="15" customHeight="1" x14ac:dyDescent="0.2">
      <c r="A324" s="24" t="s">
        <v>463</v>
      </c>
      <c r="B324" s="229"/>
      <c r="C324" s="222"/>
      <c r="D324" s="8"/>
      <c r="E324" s="8"/>
      <c r="F324" s="8"/>
    </row>
    <row r="325" spans="1:6" ht="15" customHeight="1" x14ac:dyDescent="0.2">
      <c r="A325" s="24" t="s">
        <v>464</v>
      </c>
      <c r="B325" s="229"/>
      <c r="C325" s="222"/>
      <c r="D325" s="8"/>
      <c r="E325" s="8"/>
      <c r="F325" s="8"/>
    </row>
    <row r="326" spans="1:6" ht="15" customHeight="1" x14ac:dyDescent="0.2">
      <c r="A326" s="228" t="s">
        <v>465</v>
      </c>
      <c r="B326" s="229"/>
      <c r="C326" s="222"/>
      <c r="D326" s="8"/>
      <c r="E326" s="8"/>
      <c r="F326" s="8"/>
    </row>
    <row r="327" spans="1:6" ht="15" customHeight="1" x14ac:dyDescent="0.2">
      <c r="A327" s="228" t="s">
        <v>466</v>
      </c>
      <c r="B327" s="229"/>
      <c r="C327" s="222"/>
      <c r="D327" s="8"/>
      <c r="E327" s="8"/>
      <c r="F327" s="8"/>
    </row>
    <row r="328" spans="1:6" ht="15" customHeight="1" x14ac:dyDescent="0.2">
      <c r="A328" s="230" t="s">
        <v>467</v>
      </c>
      <c r="B328" s="231"/>
      <c r="C328" s="232">
        <v>44670511</v>
      </c>
      <c r="D328" s="8"/>
      <c r="E328" s="8"/>
      <c r="F328" s="8"/>
    </row>
    <row r="329" spans="1:6" ht="15" customHeight="1" x14ac:dyDescent="0.2">
      <c r="A329" s="44"/>
      <c r="B329" s="233" t="s">
        <v>468</v>
      </c>
      <c r="C329" s="163">
        <f>SUM(C321:C328)</f>
        <v>47715038</v>
      </c>
      <c r="D329" s="8"/>
      <c r="E329" s="8"/>
      <c r="F329" s="8"/>
    </row>
    <row r="330" spans="1:6" ht="12.75" x14ac:dyDescent="0.2">
      <c r="A330" s="8"/>
      <c r="B330" s="8"/>
      <c r="C330" s="8"/>
      <c r="D330" s="8"/>
      <c r="E330" s="8"/>
      <c r="F330" s="5"/>
    </row>
    <row r="331" spans="1:6" ht="12.75" x14ac:dyDescent="0.2">
      <c r="A331" s="8"/>
      <c r="B331" s="8"/>
      <c r="C331" s="8"/>
      <c r="D331" s="8"/>
      <c r="E331" s="8"/>
      <c r="F331" s="5"/>
    </row>
    <row r="332" spans="1:6" ht="12.75" x14ac:dyDescent="0.2">
      <c r="A332" s="8"/>
      <c r="B332" s="8"/>
      <c r="C332" s="8"/>
      <c r="D332" s="8"/>
      <c r="E332" s="8"/>
      <c r="F332" s="5"/>
    </row>
    <row r="333" spans="1:6" ht="12.75" x14ac:dyDescent="0.2">
      <c r="A333" s="183"/>
      <c r="B333" s="183"/>
      <c r="C333" s="183"/>
      <c r="D333" s="183"/>
      <c r="E333" s="183"/>
      <c r="F333" s="212"/>
    </row>
    <row r="334" spans="1:6" ht="12.75" x14ac:dyDescent="0.2">
      <c r="A334" s="183"/>
      <c r="B334" s="183"/>
      <c r="C334" s="183"/>
      <c r="D334" s="183"/>
      <c r="E334" s="245" t="str">
        <f>[3]NOMBRE!B12</f>
        <v xml:space="preserve">SRA. MARIA INES NUÑEZ GONZALEZ </v>
      </c>
      <c r="F334" s="245"/>
    </row>
    <row r="335" spans="1:6" ht="12.75" x14ac:dyDescent="0.2">
      <c r="A335" s="183"/>
      <c r="B335" s="183"/>
      <c r="C335" s="183"/>
      <c r="D335" s="185"/>
      <c r="E335" s="238" t="str">
        <f>[3]NOMBRE!A12</f>
        <v>Jefe de Estadisticas</v>
      </c>
      <c r="F335" s="238"/>
    </row>
    <row r="336" spans="1:6" ht="12.75" x14ac:dyDescent="0.2">
      <c r="A336" s="183"/>
      <c r="B336" s="183"/>
      <c r="C336" s="183"/>
      <c r="D336" s="183"/>
      <c r="E336" s="234"/>
      <c r="F336" s="235"/>
    </row>
    <row r="337" spans="1:6" ht="12.75" x14ac:dyDescent="0.2">
      <c r="A337" s="183"/>
      <c r="B337" s="183"/>
      <c r="C337" s="183"/>
      <c r="D337" s="183"/>
      <c r="E337" s="235"/>
      <c r="F337" s="235"/>
    </row>
    <row r="338" spans="1:6" ht="12.75" x14ac:dyDescent="0.2">
      <c r="A338" s="183"/>
      <c r="B338" s="183"/>
      <c r="C338" s="183"/>
      <c r="D338" s="183"/>
      <c r="E338" s="235"/>
      <c r="F338" s="235"/>
    </row>
    <row r="339" spans="1:6" ht="12.75" x14ac:dyDescent="0.2">
      <c r="A339" s="183"/>
      <c r="B339" s="183"/>
      <c r="C339" s="183"/>
      <c r="D339" s="183"/>
      <c r="E339" s="235"/>
      <c r="F339" s="235"/>
    </row>
    <row r="340" spans="1:6" ht="12.75" x14ac:dyDescent="0.2">
      <c r="A340" s="183"/>
      <c r="B340" s="183"/>
      <c r="C340" s="183"/>
      <c r="D340" s="183"/>
      <c r="E340" s="235"/>
      <c r="F340" s="235"/>
    </row>
    <row r="341" spans="1:6" ht="12.75" x14ac:dyDescent="0.2">
      <c r="A341" s="183"/>
      <c r="B341" s="183"/>
      <c r="C341" s="183"/>
      <c r="D341" s="183"/>
      <c r="E341" s="235"/>
      <c r="F341" s="235"/>
    </row>
    <row r="342" spans="1:6" ht="12.75" x14ac:dyDescent="0.2">
      <c r="A342" s="183"/>
      <c r="B342" s="183"/>
      <c r="C342" s="183"/>
      <c r="D342" s="183"/>
      <c r="E342" s="235"/>
      <c r="F342" s="235"/>
    </row>
    <row r="343" spans="1:6" ht="12.75" x14ac:dyDescent="0.2">
      <c r="A343" s="183"/>
      <c r="B343" s="183"/>
      <c r="C343" s="183"/>
      <c r="D343" s="183"/>
      <c r="E343" s="245" t="str">
        <f>[3]NOMBRE!B11</f>
        <v xml:space="preserve">DR. RUBEN BRAVO CASTILLO </v>
      </c>
      <c r="F343" s="245"/>
    </row>
    <row r="344" spans="1:6" ht="22.5" customHeight="1" x14ac:dyDescent="0.2">
      <c r="A344" s="183"/>
      <c r="B344" s="183"/>
      <c r="C344" s="183"/>
      <c r="D344" s="212"/>
      <c r="E344" s="238" t="str">
        <f>CONCATENATE("Director ",[3]NOMBRE!B1)</f>
        <v xml:space="preserve">Director </v>
      </c>
      <c r="F344" s="238"/>
    </row>
    <row r="345" spans="1:6" ht="12.75" x14ac:dyDescent="0.2">
      <c r="A345" s="183"/>
      <c r="B345" s="183"/>
      <c r="C345" s="183"/>
      <c r="D345" s="236"/>
      <c r="E345" s="183"/>
      <c r="F345" s="212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27:E227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0:E170"/>
    <mergeCell ref="A206:E206"/>
    <mergeCell ref="A220:C220"/>
    <mergeCell ref="B311:D311"/>
    <mergeCell ref="A234:E234"/>
    <mergeCell ref="A238:E238"/>
    <mergeCell ref="A254:E254"/>
    <mergeCell ref="A273:E273"/>
    <mergeCell ref="A283:E283"/>
    <mergeCell ref="A293:E293"/>
    <mergeCell ref="B302:C302"/>
    <mergeCell ref="A305:E305"/>
    <mergeCell ref="B306:D306"/>
    <mergeCell ref="A309:E309"/>
    <mergeCell ref="A310:D310"/>
    <mergeCell ref="E344:F344"/>
    <mergeCell ref="A314:C314"/>
    <mergeCell ref="A315:C315"/>
    <mergeCell ref="A316:B316"/>
    <mergeCell ref="E334:F334"/>
    <mergeCell ref="E335:F335"/>
    <mergeCell ref="E343:F3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workbookViewId="0">
      <selection activeCell="B15" sqref="B15"/>
    </sheetView>
  </sheetViews>
  <sheetFormatPr baseColWidth="10" defaultRowHeight="10.5" x14ac:dyDescent="0.15"/>
  <cols>
    <col min="1" max="1" width="15" style="4" customWidth="1"/>
    <col min="2" max="2" width="74" style="4" customWidth="1"/>
    <col min="3" max="5" width="21.42578125" style="4" customWidth="1"/>
    <col min="6" max="6" width="19.5703125" style="237" customWidth="1"/>
    <col min="7" max="7" width="2.42578125" style="4" customWidth="1"/>
    <col min="8" max="9" width="5.140625" style="4" customWidth="1"/>
    <col min="10" max="256" width="11.42578125" style="4"/>
    <col min="257" max="257" width="15" style="4" customWidth="1"/>
    <col min="258" max="258" width="74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15" style="4" customWidth="1"/>
    <col min="514" max="514" width="74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15" style="4" customWidth="1"/>
    <col min="770" max="770" width="74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15" style="4" customWidth="1"/>
    <col min="1026" max="1026" width="74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15" style="4" customWidth="1"/>
    <col min="1282" max="1282" width="74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15" style="4" customWidth="1"/>
    <col min="1538" max="1538" width="74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15" style="4" customWidth="1"/>
    <col min="1794" max="1794" width="74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15" style="4" customWidth="1"/>
    <col min="2050" max="2050" width="74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15" style="4" customWidth="1"/>
    <col min="2306" max="2306" width="74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15" style="4" customWidth="1"/>
    <col min="2562" max="2562" width="74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15" style="4" customWidth="1"/>
    <col min="2818" max="2818" width="74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15" style="4" customWidth="1"/>
    <col min="3074" max="3074" width="74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15" style="4" customWidth="1"/>
    <col min="3330" max="3330" width="74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15" style="4" customWidth="1"/>
    <col min="3586" max="3586" width="74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15" style="4" customWidth="1"/>
    <col min="3842" max="3842" width="74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15" style="4" customWidth="1"/>
    <col min="4098" max="4098" width="74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15" style="4" customWidth="1"/>
    <col min="4354" max="4354" width="74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15" style="4" customWidth="1"/>
    <col min="4610" max="4610" width="74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15" style="4" customWidth="1"/>
    <col min="4866" max="4866" width="74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15" style="4" customWidth="1"/>
    <col min="5122" max="5122" width="74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15" style="4" customWidth="1"/>
    <col min="5378" max="5378" width="74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15" style="4" customWidth="1"/>
    <col min="5634" max="5634" width="74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15" style="4" customWidth="1"/>
    <col min="5890" max="5890" width="74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15" style="4" customWidth="1"/>
    <col min="6146" max="6146" width="74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15" style="4" customWidth="1"/>
    <col min="6402" max="6402" width="74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15" style="4" customWidth="1"/>
    <col min="6658" max="6658" width="74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15" style="4" customWidth="1"/>
    <col min="6914" max="6914" width="74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15" style="4" customWidth="1"/>
    <col min="7170" max="7170" width="74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15" style="4" customWidth="1"/>
    <col min="7426" max="7426" width="74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15" style="4" customWidth="1"/>
    <col min="7682" max="7682" width="74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15" style="4" customWidth="1"/>
    <col min="7938" max="7938" width="74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15" style="4" customWidth="1"/>
    <col min="8194" max="8194" width="74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15" style="4" customWidth="1"/>
    <col min="8450" max="8450" width="74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15" style="4" customWidth="1"/>
    <col min="8706" max="8706" width="74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15" style="4" customWidth="1"/>
    <col min="8962" max="8962" width="74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15" style="4" customWidth="1"/>
    <col min="9218" max="9218" width="74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15" style="4" customWidth="1"/>
    <col min="9474" max="9474" width="74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15" style="4" customWidth="1"/>
    <col min="9730" max="9730" width="74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15" style="4" customWidth="1"/>
    <col min="9986" max="9986" width="74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15" style="4" customWidth="1"/>
    <col min="10242" max="10242" width="74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15" style="4" customWidth="1"/>
    <col min="10498" max="10498" width="74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15" style="4" customWidth="1"/>
    <col min="10754" max="10754" width="74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15" style="4" customWidth="1"/>
    <col min="11010" max="11010" width="74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15" style="4" customWidth="1"/>
    <col min="11266" max="11266" width="74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15" style="4" customWidth="1"/>
    <col min="11522" max="11522" width="74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15" style="4" customWidth="1"/>
    <col min="11778" max="11778" width="74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15" style="4" customWidth="1"/>
    <col min="12034" max="12034" width="74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15" style="4" customWidth="1"/>
    <col min="12290" max="12290" width="74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15" style="4" customWidth="1"/>
    <col min="12546" max="12546" width="74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15" style="4" customWidth="1"/>
    <col min="12802" max="12802" width="74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15" style="4" customWidth="1"/>
    <col min="13058" max="13058" width="74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15" style="4" customWidth="1"/>
    <col min="13314" max="13314" width="74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15" style="4" customWidth="1"/>
    <col min="13570" max="13570" width="74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15" style="4" customWidth="1"/>
    <col min="13826" max="13826" width="74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15" style="4" customWidth="1"/>
    <col min="14082" max="14082" width="74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15" style="4" customWidth="1"/>
    <col min="14338" max="14338" width="74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15" style="4" customWidth="1"/>
    <col min="14594" max="14594" width="74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15" style="4" customWidth="1"/>
    <col min="14850" max="14850" width="74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15" style="4" customWidth="1"/>
    <col min="15106" max="15106" width="74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15" style="4" customWidth="1"/>
    <col min="15362" max="15362" width="74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15" style="4" customWidth="1"/>
    <col min="15618" max="15618" width="74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15" style="4" customWidth="1"/>
    <col min="15874" max="15874" width="74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15" style="4" customWidth="1"/>
    <col min="16130" max="16130" width="74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271" t="s">
        <v>1</v>
      </c>
      <c r="D1" s="272"/>
      <c r="E1" s="273"/>
      <c r="F1" s="3"/>
    </row>
    <row r="2" spans="1:7" ht="12.75" x14ac:dyDescent="0.2">
      <c r="A2" s="1" t="str">
        <f>CONCATENATE("COMUNA: ",[4]NOMBRE!B2," - ","( ",[4]NOMBRE!C2,[4]NOMBRE!D2,[4]NOMBRE!E2,[4]NOMBRE!F2,[4]NOMBRE!G2," )")</f>
        <v>COMUNA: LINARES  - ( 07401 )</v>
      </c>
      <c r="B2" s="2"/>
      <c r="C2" s="268"/>
      <c r="D2" s="269"/>
      <c r="E2" s="270"/>
      <c r="F2" s="5"/>
      <c r="G2" s="6"/>
    </row>
    <row r="3" spans="1:7" ht="12.75" x14ac:dyDescent="0.2">
      <c r="A3" s="1" t="str">
        <f>CONCATENATE("ESTABLECIMIENTO: ",[4]NOMBRE!B3," - ","( ",[4]NOMBRE!C3,[4]NOMBRE!D3,[4]NOMBRE!E3,[4]NOMBRE!F3,[4]NOMBRE!G3," )")</f>
        <v>ESTABLECIMIENTO: HOSPITAL DE LINARES  - ( 16108 )</v>
      </c>
      <c r="B3" s="2"/>
      <c r="C3" s="271" t="s">
        <v>2</v>
      </c>
      <c r="D3" s="272"/>
      <c r="E3" s="273"/>
      <c r="F3" s="5"/>
      <c r="G3" s="7"/>
    </row>
    <row r="4" spans="1:7" ht="12.75" x14ac:dyDescent="0.2">
      <c r="A4" s="1" t="str">
        <f>CONCATENATE("MES: ",[4]NOMBRE!B6," - ","( ",[4]NOMBRE!C6,[4]NOMBRE!D6," )")</f>
        <v>MES: ABRIL - ( 04 )</v>
      </c>
      <c r="B4" s="2"/>
      <c r="C4" s="268" t="str">
        <f>CONCATENATE([4]NOMBRE!B6," ","( ",[4]NOMBRE!C6,[4]NOMBRE!D6," )")</f>
        <v>ABRIL ( 04 )</v>
      </c>
      <c r="D4" s="269"/>
      <c r="E4" s="270"/>
      <c r="F4" s="5"/>
      <c r="G4" s="7"/>
    </row>
    <row r="5" spans="1:7" ht="12.75" x14ac:dyDescent="0.2">
      <c r="A5" s="1" t="str">
        <f>CONCATENATE("AÑO: ",[4]NOMBRE!B7)</f>
        <v>AÑO: 2011</v>
      </c>
      <c r="B5" s="2"/>
      <c r="C5" s="271" t="s">
        <v>3</v>
      </c>
      <c r="D5" s="272"/>
      <c r="E5" s="273"/>
      <c r="F5" s="5"/>
      <c r="G5" s="7"/>
    </row>
    <row r="6" spans="1:7" ht="12.75" x14ac:dyDescent="0.2">
      <c r="A6" s="8"/>
      <c r="B6" s="8"/>
      <c r="C6" s="268">
        <f>[4]NOMBRE!B7</f>
        <v>2011</v>
      </c>
      <c r="D6" s="269"/>
      <c r="E6" s="270"/>
      <c r="F6" s="5"/>
      <c r="G6" s="7"/>
    </row>
    <row r="7" spans="1:7" ht="12.75" x14ac:dyDescent="0.2">
      <c r="A7" s="263" t="s">
        <v>4</v>
      </c>
      <c r="B7" s="264"/>
      <c r="C7" s="265" t="s">
        <v>5</v>
      </c>
      <c r="D7" s="266"/>
      <c r="E7" s="267"/>
      <c r="F7" s="5"/>
      <c r="G7" s="7"/>
    </row>
    <row r="8" spans="1:7" ht="12.75" x14ac:dyDescent="0.2">
      <c r="A8" s="8"/>
      <c r="B8" s="9" t="s">
        <v>6</v>
      </c>
      <c r="C8" s="268" t="str">
        <f>CONCATENATE([4]NOMBRE!B3," ","( ",[4]NOMBRE!C3,[4]NOMBRE!D3,[4]NOMBRE!E3,[4]NOMBRE!F3,[4]NOMBRE!G3," )")</f>
        <v>HOSPITAL DE LINARES  ( 16108 )</v>
      </c>
      <c r="D8" s="269"/>
      <c r="E8" s="270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256" t="s">
        <v>7</v>
      </c>
      <c r="B11" s="252"/>
      <c r="C11" s="252"/>
      <c r="D11" s="252"/>
      <c r="E11" s="253"/>
      <c r="F11" s="5"/>
    </row>
    <row r="12" spans="1:7" ht="43.5" customHeight="1" x14ac:dyDescent="0.2">
      <c r="A12" s="11" t="s">
        <v>8</v>
      </c>
      <c r="B12" s="11" t="s">
        <v>9</v>
      </c>
      <c r="C12" s="12" t="s">
        <v>10</v>
      </c>
      <c r="D12" s="13" t="s">
        <v>11</v>
      </c>
      <c r="E12" s="14" t="s">
        <v>12</v>
      </c>
      <c r="F12" s="8"/>
    </row>
    <row r="13" spans="1:7" ht="12.75" customHeight="1" x14ac:dyDescent="0.2">
      <c r="A13" s="242" t="s">
        <v>13</v>
      </c>
      <c r="B13" s="243"/>
      <c r="C13" s="243"/>
      <c r="D13" s="243"/>
      <c r="E13" s="244"/>
      <c r="F13" s="8"/>
    </row>
    <row r="14" spans="1:7" ht="15" customHeight="1" x14ac:dyDescent="0.2">
      <c r="A14" s="17" t="s">
        <v>14</v>
      </c>
      <c r="B14" s="18" t="s">
        <v>15</v>
      </c>
      <c r="C14" s="19">
        <f>[4]BS17A!$D13</f>
        <v>0</v>
      </c>
      <c r="D14" s="20">
        <f>[4]BS17A!$U13</f>
        <v>3710</v>
      </c>
      <c r="E14" s="21">
        <f>[4]BS17A!$V13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24">
        <f>[4]BS17A!$D14</f>
        <v>0</v>
      </c>
      <c r="D15" s="25">
        <f>[4]BS17A!$U14</f>
        <v>4670</v>
      </c>
      <c r="E15" s="26">
        <f>[4]BS17A!$V14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24">
        <f>[4]BS17A!$D15</f>
        <v>8859</v>
      </c>
      <c r="D16" s="25">
        <f>[4]BS17A!$U15</f>
        <v>9990</v>
      </c>
      <c r="E16" s="26">
        <f>[4]BS17A!$V15</f>
        <v>88501410</v>
      </c>
      <c r="F16" s="8"/>
    </row>
    <row r="17" spans="1:6" ht="15" customHeight="1" x14ac:dyDescent="0.2">
      <c r="A17" s="22" t="s">
        <v>20</v>
      </c>
      <c r="B17" s="23" t="s">
        <v>21</v>
      </c>
      <c r="C17" s="24">
        <f>[4]BS17A!$D16</f>
        <v>0</v>
      </c>
      <c r="D17" s="25">
        <f>[4]BS17A!$U16</f>
        <v>5970</v>
      </c>
      <c r="E17" s="26">
        <f>[4]BS17A!$V16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24">
        <f>[4]BS17A!$D17</f>
        <v>0</v>
      </c>
      <c r="D18" s="25">
        <f>[4]BS17A!$U17</f>
        <v>6550</v>
      </c>
      <c r="E18" s="26">
        <f>[4]BS17A!$V17</f>
        <v>0</v>
      </c>
      <c r="F18" s="8"/>
    </row>
    <row r="19" spans="1:6" ht="33" customHeight="1" x14ac:dyDescent="0.2">
      <c r="A19" s="22" t="s">
        <v>24</v>
      </c>
      <c r="B19" s="27" t="s">
        <v>25</v>
      </c>
      <c r="C19" s="24">
        <f>[4]BS17A!$D20</f>
        <v>0</v>
      </c>
      <c r="D19" s="25">
        <f>[4]BS17A!$U20</f>
        <v>5040</v>
      </c>
      <c r="E19" s="26">
        <f>[4]BS17A!$V20</f>
        <v>0</v>
      </c>
      <c r="F19" s="8"/>
    </row>
    <row r="20" spans="1:6" ht="42.75" customHeight="1" x14ac:dyDescent="0.2">
      <c r="A20" s="22" t="s">
        <v>26</v>
      </c>
      <c r="B20" s="27" t="s">
        <v>27</v>
      </c>
      <c r="C20" s="24">
        <f>[4]BS17A!$D21</f>
        <v>0</v>
      </c>
      <c r="D20" s="25">
        <f>[4]BS17A!$U21</f>
        <v>6050</v>
      </c>
      <c r="E20" s="26">
        <f>[4]BS17A!$V21</f>
        <v>0</v>
      </c>
      <c r="F20" s="8"/>
    </row>
    <row r="21" spans="1:6" ht="42.75" customHeight="1" x14ac:dyDescent="0.2">
      <c r="A21" s="22" t="s">
        <v>28</v>
      </c>
      <c r="B21" s="27" t="s">
        <v>29</v>
      </c>
      <c r="C21" s="24">
        <f>[4]BS17A!$D22</f>
        <v>0</v>
      </c>
      <c r="D21" s="25">
        <f>[4]BS17A!$U22</f>
        <v>7510</v>
      </c>
      <c r="E21" s="26">
        <f>[4]BS17A!$V22</f>
        <v>0</v>
      </c>
      <c r="F21" s="8"/>
    </row>
    <row r="22" spans="1:6" ht="32.25" customHeight="1" x14ac:dyDescent="0.2">
      <c r="A22" s="22" t="s">
        <v>30</v>
      </c>
      <c r="B22" s="27" t="s">
        <v>31</v>
      </c>
      <c r="C22" s="24">
        <f>[4]BS17A!$D23</f>
        <v>1414</v>
      </c>
      <c r="D22" s="25">
        <f>[4]BS17A!$U23</f>
        <v>5040</v>
      </c>
      <c r="E22" s="26">
        <f>[4]BS17A!$V23</f>
        <v>7126560</v>
      </c>
      <c r="F22" s="8"/>
    </row>
    <row r="23" spans="1:6" ht="40.5" customHeight="1" x14ac:dyDescent="0.2">
      <c r="A23" s="22" t="s">
        <v>32</v>
      </c>
      <c r="B23" s="27" t="s">
        <v>33</v>
      </c>
      <c r="C23" s="24">
        <f>[4]BS17A!$D24</f>
        <v>815</v>
      </c>
      <c r="D23" s="25">
        <f>[4]BS17A!$U24</f>
        <v>6050</v>
      </c>
      <c r="E23" s="26">
        <f>[4]BS17A!$V24</f>
        <v>4930750</v>
      </c>
      <c r="F23" s="8"/>
    </row>
    <row r="24" spans="1:6" ht="27" customHeight="1" x14ac:dyDescent="0.2">
      <c r="A24" s="22" t="s">
        <v>34</v>
      </c>
      <c r="B24" s="27" t="s">
        <v>35</v>
      </c>
      <c r="C24" s="24">
        <f>[4]BS17A!$D25</f>
        <v>2008</v>
      </c>
      <c r="D24" s="25">
        <f>[4]BS17A!$U25</f>
        <v>7510</v>
      </c>
      <c r="E24" s="26">
        <f>[4]BS17A!$V25</f>
        <v>15080080</v>
      </c>
      <c r="F24" s="8"/>
    </row>
    <row r="25" spans="1:6" ht="15" customHeight="1" x14ac:dyDescent="0.2">
      <c r="A25" s="22" t="s">
        <v>36</v>
      </c>
      <c r="B25" s="28" t="s">
        <v>37</v>
      </c>
      <c r="C25" s="24">
        <f>+[4]BS17A!$D791</f>
        <v>113</v>
      </c>
      <c r="D25" s="25">
        <f>+[4]BS17A!$U791</f>
        <v>6130</v>
      </c>
      <c r="E25" s="26">
        <f>+[4]BS17A!$V791</f>
        <v>692690</v>
      </c>
      <c r="F25" s="8"/>
    </row>
    <row r="26" spans="1:6" ht="15" customHeight="1" x14ac:dyDescent="0.2">
      <c r="A26" s="29" t="s">
        <v>38</v>
      </c>
      <c r="B26" s="30" t="s">
        <v>39</v>
      </c>
      <c r="C26" s="31">
        <f>+[4]BS17A!$D796</f>
        <v>0</v>
      </c>
      <c r="D26" s="32">
        <f>+[4]BS17A!$U796</f>
        <v>25400</v>
      </c>
      <c r="E26" s="33">
        <f>+[4]BS17A!$V796</f>
        <v>0</v>
      </c>
      <c r="F26" s="8"/>
    </row>
    <row r="27" spans="1:6" ht="18" customHeight="1" x14ac:dyDescent="0.2">
      <c r="A27" s="242" t="s">
        <v>40</v>
      </c>
      <c r="B27" s="243"/>
      <c r="C27" s="243"/>
      <c r="D27" s="243"/>
      <c r="E27" s="244"/>
      <c r="F27" s="8"/>
    </row>
    <row r="28" spans="1:6" ht="15" customHeight="1" x14ac:dyDescent="0.2">
      <c r="A28" s="17" t="s">
        <v>41</v>
      </c>
      <c r="B28" s="18" t="s">
        <v>42</v>
      </c>
      <c r="C28" s="19">
        <f>[4]BS17A!$D27</f>
        <v>1566</v>
      </c>
      <c r="D28" s="20">
        <f>[4]BS17A!$U27</f>
        <v>990</v>
      </c>
      <c r="E28" s="21">
        <f>[4]BS17A!$V27</f>
        <v>1550340</v>
      </c>
      <c r="F28" s="8"/>
    </row>
    <row r="29" spans="1:6" ht="15" customHeight="1" x14ac:dyDescent="0.2">
      <c r="A29" s="22" t="s">
        <v>43</v>
      </c>
      <c r="B29" s="34" t="s">
        <v>44</v>
      </c>
      <c r="C29" s="24">
        <f>[4]BS17A!$D28</f>
        <v>0</v>
      </c>
      <c r="D29" s="25">
        <f>[4]BS17A!$U28</f>
        <v>1680</v>
      </c>
      <c r="E29" s="26">
        <f>[4]BS17A!$V28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24">
        <f>[4]BS17A!$D29</f>
        <v>0</v>
      </c>
      <c r="D30" s="25">
        <f>[4]BS17A!$U29</f>
        <v>530</v>
      </c>
      <c r="E30" s="26">
        <f>[4]BS17A!$V29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24">
        <f>[4]BS17A!$D30</f>
        <v>34</v>
      </c>
      <c r="D31" s="25">
        <f>[4]BS17A!$U30</f>
        <v>1340</v>
      </c>
      <c r="E31" s="26">
        <f>[4]BS17A!$V30</f>
        <v>45560</v>
      </c>
      <c r="F31" s="8"/>
    </row>
    <row r="32" spans="1:6" ht="15" customHeight="1" x14ac:dyDescent="0.2">
      <c r="A32" s="22" t="s">
        <v>49</v>
      </c>
      <c r="B32" s="23" t="s">
        <v>50</v>
      </c>
      <c r="C32" s="24">
        <f>[4]BS17A!$D31</f>
        <v>1119</v>
      </c>
      <c r="D32" s="25">
        <f>[4]BS17A!$U31</f>
        <v>1070</v>
      </c>
      <c r="E32" s="26">
        <f>[4]BS17A!$V31</f>
        <v>1197330</v>
      </c>
      <c r="F32" s="8"/>
    </row>
    <row r="33" spans="1:6" ht="15" customHeight="1" x14ac:dyDescent="0.2">
      <c r="A33" s="22" t="s">
        <v>51</v>
      </c>
      <c r="B33" s="34" t="s">
        <v>52</v>
      </c>
      <c r="C33" s="24">
        <f>[4]BS17A!$D32</f>
        <v>0</v>
      </c>
      <c r="D33" s="25">
        <f>[4]BS17A!$U32</f>
        <v>990</v>
      </c>
      <c r="E33" s="26">
        <f>[4]BS17A!$V32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24">
        <f>+[4]BS17A!$D792</f>
        <v>0</v>
      </c>
      <c r="D34" s="25">
        <f>+[4]BS17A!$U792</f>
        <v>2400</v>
      </c>
      <c r="E34" s="26">
        <f>+[4]BS17A!$V792</f>
        <v>0</v>
      </c>
      <c r="F34" s="8"/>
    </row>
    <row r="35" spans="1:6" ht="15" customHeight="1" x14ac:dyDescent="0.2">
      <c r="A35" s="22" t="s">
        <v>55</v>
      </c>
      <c r="B35" s="34" t="s">
        <v>56</v>
      </c>
      <c r="C35" s="24">
        <f>+[4]BS17A!$D793</f>
        <v>719</v>
      </c>
      <c r="D35" s="25">
        <f>+[4]BS17A!$U793</f>
        <v>2400</v>
      </c>
      <c r="E35" s="26">
        <f>+[4]BS17A!$V793</f>
        <v>1725600</v>
      </c>
      <c r="F35" s="8"/>
    </row>
    <row r="36" spans="1:6" ht="15" customHeight="1" x14ac:dyDescent="0.2">
      <c r="A36" s="22" t="s">
        <v>57</v>
      </c>
      <c r="B36" s="34" t="s">
        <v>58</v>
      </c>
      <c r="C36" s="24">
        <f>+[4]BS17A!$D794</f>
        <v>1</v>
      </c>
      <c r="D36" s="25">
        <f>+[4]BS17A!$U794</f>
        <v>9560</v>
      </c>
      <c r="E36" s="26">
        <f>+[4]BS17A!$V794</f>
        <v>9560</v>
      </c>
      <c r="F36" s="8"/>
    </row>
    <row r="37" spans="1:6" ht="15" customHeight="1" x14ac:dyDescent="0.2">
      <c r="A37" s="29" t="s">
        <v>59</v>
      </c>
      <c r="B37" s="35" t="s">
        <v>60</v>
      </c>
      <c r="C37" s="31">
        <f>+[4]BS17A!$D795</f>
        <v>20</v>
      </c>
      <c r="D37" s="32">
        <f>+[4]BS17A!$U795</f>
        <v>11200</v>
      </c>
      <c r="E37" s="33">
        <f>+[4]BS17A!$V795</f>
        <v>224000</v>
      </c>
      <c r="F37" s="8"/>
    </row>
    <row r="38" spans="1:6" ht="18" customHeight="1" x14ac:dyDescent="0.2">
      <c r="A38" s="251" t="s">
        <v>61</v>
      </c>
      <c r="B38" s="254"/>
      <c r="C38" s="254"/>
      <c r="D38" s="254"/>
      <c r="E38" s="255"/>
      <c r="F38" s="8"/>
    </row>
    <row r="39" spans="1:6" ht="15" customHeight="1" x14ac:dyDescent="0.2">
      <c r="A39" s="17" t="s">
        <v>62</v>
      </c>
      <c r="B39" s="36" t="s">
        <v>63</v>
      </c>
      <c r="C39" s="19">
        <f>+[4]BS17A!$D797</f>
        <v>0</v>
      </c>
      <c r="D39" s="37">
        <f>+[4]BS17A!$U797</f>
        <v>2790</v>
      </c>
      <c r="E39" s="38">
        <f>+[4]BS17A!$V797</f>
        <v>0</v>
      </c>
      <c r="F39" s="8"/>
    </row>
    <row r="40" spans="1:6" ht="15" customHeight="1" x14ac:dyDescent="0.2">
      <c r="A40" s="29" t="s">
        <v>64</v>
      </c>
      <c r="B40" s="39" t="s">
        <v>65</v>
      </c>
      <c r="C40" s="31">
        <f>+[4]BS17A!$D798</f>
        <v>0</v>
      </c>
      <c r="D40" s="40">
        <f>+[4]BS17A!$U798</f>
        <v>6550</v>
      </c>
      <c r="E40" s="41">
        <f>+[4]BS17A!$V798</f>
        <v>0</v>
      </c>
      <c r="F40" s="8"/>
    </row>
    <row r="41" spans="1:6" ht="18" customHeight="1" x14ac:dyDescent="0.2">
      <c r="A41" s="251" t="s">
        <v>66</v>
      </c>
      <c r="B41" s="254"/>
      <c r="C41" s="254"/>
      <c r="D41" s="254"/>
      <c r="E41" s="255"/>
      <c r="F41" s="8"/>
    </row>
    <row r="42" spans="1:6" ht="15" customHeight="1" x14ac:dyDescent="0.2">
      <c r="A42" s="17" t="s">
        <v>67</v>
      </c>
      <c r="B42" s="42" t="s">
        <v>68</v>
      </c>
      <c r="C42" s="19">
        <f>+[4]BS17A!$D34</f>
        <v>0</v>
      </c>
      <c r="D42" s="37">
        <f>+[4]BS17A!$U34</f>
        <v>3230</v>
      </c>
      <c r="E42" s="38">
        <f>+[4]BS17A!$V34</f>
        <v>0</v>
      </c>
      <c r="F42" s="8"/>
    </row>
    <row r="43" spans="1:6" ht="15" customHeight="1" x14ac:dyDescent="0.2">
      <c r="A43" s="22" t="s">
        <v>69</v>
      </c>
      <c r="B43" s="23" t="s">
        <v>70</v>
      </c>
      <c r="C43" s="24">
        <f>+[4]BS17A!$D35</f>
        <v>582</v>
      </c>
      <c r="D43" s="25">
        <f>+[4]BS17A!$U35</f>
        <v>1780</v>
      </c>
      <c r="E43" s="26">
        <f>+[4]BS17A!$V35</f>
        <v>1035960</v>
      </c>
      <c r="F43" s="8"/>
    </row>
    <row r="44" spans="1:6" ht="15" customHeight="1" x14ac:dyDescent="0.2">
      <c r="A44" s="22" t="s">
        <v>71</v>
      </c>
      <c r="B44" s="23" t="s">
        <v>72</v>
      </c>
      <c r="C44" s="24">
        <f>+[4]BS17A!$D36</f>
        <v>2</v>
      </c>
      <c r="D44" s="25">
        <f>+[4]BS17A!$U36</f>
        <v>1780</v>
      </c>
      <c r="E44" s="26">
        <f>+[4]BS17A!$V36</f>
        <v>3560</v>
      </c>
      <c r="F44" s="8"/>
    </row>
    <row r="45" spans="1:6" ht="15" customHeight="1" x14ac:dyDescent="0.2">
      <c r="A45" s="29" t="s">
        <v>73</v>
      </c>
      <c r="B45" s="43" t="s">
        <v>74</v>
      </c>
      <c r="C45" s="31">
        <f>+[4]BS17A!$D37</f>
        <v>676</v>
      </c>
      <c r="D45" s="40">
        <f>+[4]BS17A!$U37</f>
        <v>530</v>
      </c>
      <c r="E45" s="41">
        <f>+[4]BS17A!$V37</f>
        <v>358280</v>
      </c>
      <c r="F45" s="8"/>
    </row>
    <row r="46" spans="1:6" ht="18" customHeight="1" x14ac:dyDescent="0.2">
      <c r="A46" s="251" t="s">
        <v>75</v>
      </c>
      <c r="B46" s="254"/>
      <c r="C46" s="254"/>
      <c r="D46" s="254"/>
      <c r="E46" s="255"/>
      <c r="F46" s="8"/>
    </row>
    <row r="47" spans="1:6" ht="15" customHeight="1" x14ac:dyDescent="0.2">
      <c r="A47" s="17" t="s">
        <v>76</v>
      </c>
      <c r="B47" s="42" t="s">
        <v>77</v>
      </c>
      <c r="C47" s="19">
        <f>+[4]BS17A!$D39</f>
        <v>27</v>
      </c>
      <c r="D47" s="37">
        <f>+[4]BS17A!$U39</f>
        <v>1540</v>
      </c>
      <c r="E47" s="38">
        <f>+[4]BS17A!$V39</f>
        <v>41580</v>
      </c>
      <c r="F47" s="8"/>
    </row>
    <row r="48" spans="1:6" ht="15" customHeight="1" x14ac:dyDescent="0.2">
      <c r="A48" s="22" t="s">
        <v>78</v>
      </c>
      <c r="B48" s="23" t="s">
        <v>79</v>
      </c>
      <c r="C48" s="24">
        <f>+[4]BS17A!$D40</f>
        <v>33</v>
      </c>
      <c r="D48" s="25">
        <f>+[4]BS17A!$U40</f>
        <v>1540</v>
      </c>
      <c r="E48" s="26">
        <f>+[4]BS17A!$V40</f>
        <v>50820</v>
      </c>
      <c r="F48" s="8"/>
    </row>
    <row r="49" spans="1:7" ht="15" customHeight="1" x14ac:dyDescent="0.2">
      <c r="A49" s="29" t="s">
        <v>80</v>
      </c>
      <c r="B49" s="43" t="s">
        <v>81</v>
      </c>
      <c r="C49" s="31">
        <f>+[4]BS17A!$D41</f>
        <v>0</v>
      </c>
      <c r="D49" s="40">
        <f>+[4]BS17A!$U41</f>
        <v>880</v>
      </c>
      <c r="E49" s="41">
        <f>+[4]BS17A!$V41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17988</v>
      </c>
      <c r="D50" s="46"/>
      <c r="E50" s="47">
        <f>SUM(E14:E49)</f>
        <v>122574080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251" t="s">
        <v>83</v>
      </c>
      <c r="B53" s="254"/>
      <c r="C53" s="254"/>
      <c r="D53" s="254"/>
      <c r="E53" s="255"/>
      <c r="F53" s="51"/>
      <c r="G53" s="52"/>
    </row>
    <row r="54" spans="1:7" ht="38.25" x14ac:dyDescent="0.2">
      <c r="A54" s="11" t="s">
        <v>8</v>
      </c>
      <c r="B54" s="11" t="s">
        <v>84</v>
      </c>
      <c r="C54" s="12" t="s">
        <v>10</v>
      </c>
      <c r="D54" s="53"/>
      <c r="E54" s="14" t="s">
        <v>12</v>
      </c>
      <c r="F54" s="8"/>
    </row>
    <row r="55" spans="1:7" ht="18" customHeight="1" x14ac:dyDescent="0.2">
      <c r="A55" s="54" t="s">
        <v>85</v>
      </c>
      <c r="B55" s="55" t="s">
        <v>86</v>
      </c>
      <c r="C55" s="56">
        <f>+[4]BS17!$D12</f>
        <v>46994</v>
      </c>
      <c r="D55" s="57"/>
      <c r="E55" s="58">
        <f>+E56+E57+E58+E59+E60+E61+E65+E66+E67</f>
        <v>59805170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+[4]BS17!$D13</f>
        <v>17917</v>
      </c>
      <c r="D56" s="61"/>
      <c r="E56" s="62">
        <f>+[4]BS17A!V83</f>
        <v>18678000</v>
      </c>
      <c r="F56" s="8"/>
    </row>
    <row r="57" spans="1:7" ht="15" customHeight="1" x14ac:dyDescent="0.2">
      <c r="A57" s="22" t="s">
        <v>89</v>
      </c>
      <c r="B57" s="28" t="s">
        <v>90</v>
      </c>
      <c r="C57" s="24">
        <f>+[4]BS17!$D14</f>
        <v>19595</v>
      </c>
      <c r="D57" s="63"/>
      <c r="E57" s="64">
        <f>+[4]BS17A!V174</f>
        <v>20158700</v>
      </c>
      <c r="F57" s="8"/>
    </row>
    <row r="58" spans="1:7" ht="15" customHeight="1" x14ac:dyDescent="0.2">
      <c r="A58" s="22" t="s">
        <v>91</v>
      </c>
      <c r="B58" s="28" t="s">
        <v>92</v>
      </c>
      <c r="C58" s="24">
        <f>+[4]BS17!$D15</f>
        <v>1108</v>
      </c>
      <c r="D58" s="63"/>
      <c r="E58" s="64">
        <f>+[4]BS17A!V243</f>
        <v>3440860</v>
      </c>
      <c r="F58" s="8"/>
    </row>
    <row r="59" spans="1:7" ht="15" customHeight="1" x14ac:dyDescent="0.2">
      <c r="A59" s="22" t="s">
        <v>93</v>
      </c>
      <c r="B59" s="28" t="s">
        <v>94</v>
      </c>
      <c r="C59" s="24">
        <f>+[4]BS17!$D16</f>
        <v>0</v>
      </c>
      <c r="D59" s="63"/>
      <c r="E59" s="64">
        <f>+[4]BS17A!V289</f>
        <v>0</v>
      </c>
      <c r="F59" s="8"/>
    </row>
    <row r="60" spans="1:7" ht="15" customHeight="1" x14ac:dyDescent="0.2">
      <c r="A60" s="65" t="s">
        <v>95</v>
      </c>
      <c r="B60" s="30" t="s">
        <v>96</v>
      </c>
      <c r="C60" s="66">
        <f>+[4]BS17!$D17</f>
        <v>1014</v>
      </c>
      <c r="D60" s="67"/>
      <c r="E60" s="68">
        <f>+[4]BS17A!V295</f>
        <v>4154220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+[4]BS17!$D18</f>
        <v>4666</v>
      </c>
      <c r="D61" s="71"/>
      <c r="E61" s="72">
        <f>SUM(E62:E64)</f>
        <v>10377650</v>
      </c>
      <c r="F61" s="8"/>
    </row>
    <row r="62" spans="1:7" ht="15" customHeight="1" x14ac:dyDescent="0.2">
      <c r="A62" s="73"/>
      <c r="B62" s="42" t="s">
        <v>99</v>
      </c>
      <c r="C62" s="19">
        <f>+[4]BS17!$D19</f>
        <v>3967</v>
      </c>
      <c r="D62" s="74"/>
      <c r="E62" s="75">
        <f>+[4]BS17A!V362</f>
        <v>7939050</v>
      </c>
      <c r="F62" s="8"/>
    </row>
    <row r="63" spans="1:7" ht="15" customHeight="1" x14ac:dyDescent="0.2">
      <c r="A63" s="73"/>
      <c r="B63" s="28" t="s">
        <v>100</v>
      </c>
      <c r="C63" s="24">
        <f>+[4]BS17!$D20</f>
        <v>76</v>
      </c>
      <c r="D63" s="63"/>
      <c r="E63" s="64">
        <f>+[4]BS17A!V405</f>
        <v>172380</v>
      </c>
      <c r="F63" s="8"/>
    </row>
    <row r="64" spans="1:7" ht="15" customHeight="1" x14ac:dyDescent="0.2">
      <c r="A64" s="76"/>
      <c r="B64" s="43" t="s">
        <v>101</v>
      </c>
      <c r="C64" s="31">
        <f>+[4]BS17!$D21</f>
        <v>623</v>
      </c>
      <c r="D64" s="77"/>
      <c r="E64" s="78">
        <f>+[4]BS17A!V428</f>
        <v>2266220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+[4]BS17!$D22</f>
        <v>0</v>
      </c>
      <c r="D65" s="61"/>
      <c r="E65" s="62">
        <f>+[4]BS17A!V446</f>
        <v>0</v>
      </c>
      <c r="F65" s="8"/>
    </row>
    <row r="66" spans="1:7" ht="15" customHeight="1" x14ac:dyDescent="0.2">
      <c r="A66" s="22" t="s">
        <v>104</v>
      </c>
      <c r="B66" s="28" t="s">
        <v>105</v>
      </c>
      <c r="C66" s="24">
        <f>+[4]BS17!$D23</f>
        <v>70</v>
      </c>
      <c r="D66" s="63"/>
      <c r="E66" s="64">
        <f>+[4]BS17A!V456</f>
        <v>119600</v>
      </c>
      <c r="F66" s="8"/>
    </row>
    <row r="67" spans="1:7" ht="15" customHeight="1" x14ac:dyDescent="0.2">
      <c r="A67" s="65" t="s">
        <v>106</v>
      </c>
      <c r="B67" s="30" t="s">
        <v>107</v>
      </c>
      <c r="C67" s="66">
        <f>+[4]BS17!$D24</f>
        <v>2624</v>
      </c>
      <c r="D67" s="67"/>
      <c r="E67" s="68">
        <f>+[4]BS17A!V500</f>
        <v>2876140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+[4]BS17!$D25</f>
        <v>4137</v>
      </c>
      <c r="D68" s="83"/>
      <c r="E68" s="84">
        <f>SUM(E69:E74)</f>
        <v>48926860</v>
      </c>
      <c r="F68" s="8"/>
    </row>
    <row r="69" spans="1:7" ht="15" customHeight="1" x14ac:dyDescent="0.2">
      <c r="A69" s="22" t="s">
        <v>110</v>
      </c>
      <c r="B69" s="28" t="s">
        <v>111</v>
      </c>
      <c r="C69" s="24">
        <f>+[4]BS17!$D26</f>
        <v>2753</v>
      </c>
      <c r="D69" s="63"/>
      <c r="E69" s="64">
        <f>+[4]BS17A!V535</f>
        <v>19469420</v>
      </c>
      <c r="F69" s="8"/>
    </row>
    <row r="70" spans="1:7" ht="15" customHeight="1" x14ac:dyDescent="0.2">
      <c r="A70" s="22" t="s">
        <v>112</v>
      </c>
      <c r="B70" s="28" t="s">
        <v>113</v>
      </c>
      <c r="C70" s="24">
        <f>+[4]BS17!$D27</f>
        <v>1</v>
      </c>
      <c r="D70" s="63"/>
      <c r="E70" s="64">
        <f>+[4]BS17A!V590</f>
        <v>20690</v>
      </c>
      <c r="F70" s="8"/>
    </row>
    <row r="71" spans="1:7" ht="15" customHeight="1" x14ac:dyDescent="0.2">
      <c r="A71" s="22" t="s">
        <v>114</v>
      </c>
      <c r="B71" s="28" t="s">
        <v>115</v>
      </c>
      <c r="C71" s="24">
        <f>+[4]BS17!$D28</f>
        <v>351</v>
      </c>
      <c r="D71" s="63"/>
      <c r="E71" s="64">
        <f>+[4]BS17A!V615</f>
        <v>15797810</v>
      </c>
      <c r="F71" s="8"/>
    </row>
    <row r="72" spans="1:7" ht="15" customHeight="1" x14ac:dyDescent="0.2">
      <c r="A72" s="22" t="s">
        <v>116</v>
      </c>
      <c r="B72" s="28" t="s">
        <v>117</v>
      </c>
      <c r="C72" s="24">
        <f>+[4]BS17!$D30+[4]BS17!$D32</f>
        <v>1032</v>
      </c>
      <c r="D72" s="63"/>
      <c r="E72" s="64">
        <f>+[4]BS17A!V633-[4]BS17A!V634</f>
        <v>13638940</v>
      </c>
      <c r="F72" s="8"/>
    </row>
    <row r="73" spans="1:7" ht="15" customHeight="1" x14ac:dyDescent="0.2">
      <c r="A73" s="85"/>
      <c r="B73" s="28" t="s">
        <v>118</v>
      </c>
      <c r="C73" s="24">
        <f>+[4]BS17!$D31</f>
        <v>0</v>
      </c>
      <c r="D73" s="63"/>
      <c r="E73" s="64">
        <f>+[4]BS17A!V634</f>
        <v>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+[4]BS17!$D33</f>
        <v>0</v>
      </c>
      <c r="D74" s="89"/>
      <c r="E74" s="90">
        <f>+[4]BS17A!V654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+[4]BS17!$D34</f>
        <v>0</v>
      </c>
      <c r="D75" s="94"/>
      <c r="E75" s="95">
        <f>+[4]BS17A!V779</f>
        <v>0</v>
      </c>
      <c r="F75" s="8"/>
    </row>
    <row r="76" spans="1:7" ht="15" customHeight="1" x14ac:dyDescent="0.2">
      <c r="A76" s="96"/>
      <c r="B76" s="97" t="s">
        <v>123</v>
      </c>
      <c r="C76" s="56">
        <f>+C55+C68+C75</f>
        <v>51131</v>
      </c>
      <c r="D76" s="57"/>
      <c r="E76" s="98">
        <f>+E55+E68+E75</f>
        <v>108732030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256" t="s">
        <v>124</v>
      </c>
      <c r="B79" s="252"/>
      <c r="C79" s="252"/>
      <c r="D79" s="252"/>
      <c r="E79" s="253"/>
      <c r="F79" s="51"/>
      <c r="G79" s="52"/>
    </row>
    <row r="80" spans="1:7" ht="38.25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19">
        <f>+[4]BS17!D49</f>
        <v>0</v>
      </c>
      <c r="D81" s="61"/>
      <c r="E81" s="103">
        <f>+SUM([4]BS17A!V670+[4]BS17A!V697+[4]BS17A!V716+[4]BS17A!V723+[4]BS17A!V726+[4]BS17A!V743+[4]BS17A!V760)</f>
        <v>0</v>
      </c>
      <c r="F81" s="8"/>
    </row>
    <row r="82" spans="1:6" ht="15" customHeight="1" x14ac:dyDescent="0.2">
      <c r="A82" s="104">
        <v>2001</v>
      </c>
      <c r="B82" s="28" t="s">
        <v>127</v>
      </c>
      <c r="C82" s="24">
        <f>+[4]BS17!E120</f>
        <v>928</v>
      </c>
      <c r="D82" s="63"/>
      <c r="E82" s="105">
        <f>+[4]BS17A!V1562</f>
        <v>6710420</v>
      </c>
      <c r="F82" s="8"/>
    </row>
    <row r="83" spans="1:6" ht="15" customHeight="1" x14ac:dyDescent="0.2">
      <c r="A83" s="65" t="s">
        <v>128</v>
      </c>
      <c r="B83" s="30" t="s">
        <v>129</v>
      </c>
      <c r="C83" s="66">
        <f>+[4]BS17A!D1837</f>
        <v>26</v>
      </c>
      <c r="D83" s="67"/>
      <c r="E83" s="106">
        <f>+[4]BS17A!V1837</f>
        <v>1614640</v>
      </c>
      <c r="F83" s="8"/>
    </row>
    <row r="84" spans="1:6" ht="17.25" customHeight="1" x14ac:dyDescent="0.2">
      <c r="A84" s="96"/>
      <c r="B84" s="97" t="s">
        <v>130</v>
      </c>
      <c r="C84" s="56">
        <f>+SUM(C81:C83)</f>
        <v>954</v>
      </c>
      <c r="D84" s="57"/>
      <c r="E84" s="107">
        <f>SUM(E81:E83)</f>
        <v>8325060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239" t="s">
        <v>131</v>
      </c>
      <c r="B87" s="240"/>
      <c r="C87" s="240"/>
      <c r="D87" s="240"/>
      <c r="E87" s="240"/>
      <c r="F87" s="241"/>
    </row>
    <row r="88" spans="1:6" ht="33.75" customHeight="1" x14ac:dyDescent="0.15">
      <c r="A88" s="260" t="s">
        <v>8</v>
      </c>
      <c r="B88" s="260" t="s">
        <v>9</v>
      </c>
      <c r="C88" s="242" t="s">
        <v>10</v>
      </c>
      <c r="D88" s="243"/>
      <c r="E88" s="243"/>
      <c r="F88" s="244"/>
    </row>
    <row r="89" spans="1:6" ht="35.25" customHeight="1" x14ac:dyDescent="0.15">
      <c r="A89" s="261"/>
      <c r="B89" s="261"/>
      <c r="C89" s="99" t="s">
        <v>132</v>
      </c>
      <c r="D89" s="108" t="s">
        <v>133</v>
      </c>
      <c r="E89" s="13" t="s">
        <v>134</v>
      </c>
      <c r="F89" s="1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+[4]BS17!F66</f>
        <v>0</v>
      </c>
      <c r="D90" s="110">
        <f>+[4]BS17!G66</f>
        <v>0</v>
      </c>
      <c r="E90" s="111">
        <f>+[4]BS17!H66</f>
        <v>0</v>
      </c>
      <c r="F90" s="112">
        <f>[4]BS17A!V807</f>
        <v>0</v>
      </c>
    </row>
    <row r="91" spans="1:6" ht="15" customHeight="1" x14ac:dyDescent="0.2">
      <c r="A91" s="22" t="s">
        <v>137</v>
      </c>
      <c r="B91" s="28" t="s">
        <v>138</v>
      </c>
      <c r="C91" s="113">
        <f>+[4]BS17!F67</f>
        <v>93</v>
      </c>
      <c r="D91" s="114">
        <f>+[4]BS17!G67</f>
        <v>0</v>
      </c>
      <c r="E91" s="115">
        <f>+[4]BS17!H67</f>
        <v>0</v>
      </c>
      <c r="F91" s="116">
        <f>[4]BS17A!V878</f>
        <v>34643820</v>
      </c>
    </row>
    <row r="92" spans="1:6" ht="15" customHeight="1" x14ac:dyDescent="0.2">
      <c r="A92" s="22" t="s">
        <v>139</v>
      </c>
      <c r="B92" s="28" t="s">
        <v>140</v>
      </c>
      <c r="C92" s="113">
        <f>+[4]BS17!F68</f>
        <v>16</v>
      </c>
      <c r="D92" s="114">
        <f>+[4]BS17!G68</f>
        <v>0</v>
      </c>
      <c r="E92" s="115">
        <f>+[4]BS17!H68</f>
        <v>0</v>
      </c>
      <c r="F92" s="116">
        <f>[4]BS17A!V957</f>
        <v>1309290</v>
      </c>
    </row>
    <row r="93" spans="1:6" ht="15" customHeight="1" x14ac:dyDescent="0.2">
      <c r="A93" s="22" t="s">
        <v>141</v>
      </c>
      <c r="B93" s="28" t="s">
        <v>142</v>
      </c>
      <c r="C93" s="113">
        <f>+[4]BS17!F69</f>
        <v>8</v>
      </c>
      <c r="D93" s="114">
        <f>+[4]BS17!G69</f>
        <v>0</v>
      </c>
      <c r="E93" s="115">
        <f>+[4]BS17!H69</f>
        <v>0</v>
      </c>
      <c r="F93" s="116">
        <f>[4]BS17A!V1033</f>
        <v>150020</v>
      </c>
    </row>
    <row r="94" spans="1:6" ht="15" customHeight="1" x14ac:dyDescent="0.2">
      <c r="A94" s="22" t="s">
        <v>143</v>
      </c>
      <c r="B94" s="28" t="s">
        <v>144</v>
      </c>
      <c r="C94" s="113">
        <f>+[4]BS17!F70</f>
        <v>89</v>
      </c>
      <c r="D94" s="114">
        <f>+[4]BS17!G70</f>
        <v>3</v>
      </c>
      <c r="E94" s="115">
        <f>+[4]BS17!H70</f>
        <v>0</v>
      </c>
      <c r="F94" s="116">
        <f>[4]BS17A!V1094</f>
        <v>4326725</v>
      </c>
    </row>
    <row r="95" spans="1:6" ht="15" customHeight="1" x14ac:dyDescent="0.2">
      <c r="A95" s="22" t="s">
        <v>145</v>
      </c>
      <c r="B95" s="28" t="s">
        <v>146</v>
      </c>
      <c r="C95" s="113">
        <f>+[4]BS17!F71</f>
        <v>109</v>
      </c>
      <c r="D95" s="114">
        <f>+[4]BS17!G71</f>
        <v>0</v>
      </c>
      <c r="E95" s="115">
        <f>+[4]BS17!H71</f>
        <v>0</v>
      </c>
      <c r="F95" s="116">
        <f>[4]BS17A!V1162</f>
        <v>2800990</v>
      </c>
    </row>
    <row r="96" spans="1:6" ht="15" customHeight="1" x14ac:dyDescent="0.2">
      <c r="A96" s="22" t="s">
        <v>147</v>
      </c>
      <c r="B96" s="28" t="s">
        <v>148</v>
      </c>
      <c r="C96" s="113">
        <f>+[4]BS17!F72</f>
        <v>1</v>
      </c>
      <c r="D96" s="114">
        <f>+[4]BS17!G72</f>
        <v>0</v>
      </c>
      <c r="E96" s="115">
        <f>+[4]BS17!H72</f>
        <v>0</v>
      </c>
      <c r="F96" s="116">
        <f>[4]BS17A!V1210</f>
        <v>365880</v>
      </c>
    </row>
    <row r="97" spans="1:6" ht="15" customHeight="1" x14ac:dyDescent="0.2">
      <c r="A97" s="22" t="s">
        <v>149</v>
      </c>
      <c r="B97" s="28" t="s">
        <v>150</v>
      </c>
      <c r="C97" s="113">
        <f>+[4]BS17!F73</f>
        <v>7</v>
      </c>
      <c r="D97" s="114">
        <f>+[4]BS17!G73</f>
        <v>1</v>
      </c>
      <c r="E97" s="115">
        <f>+[4]BS17!H73</f>
        <v>0</v>
      </c>
      <c r="F97" s="116">
        <f>[4]BS17A!V1276</f>
        <v>903830</v>
      </c>
    </row>
    <row r="98" spans="1:6" ht="15" customHeight="1" x14ac:dyDescent="0.2">
      <c r="A98" s="22" t="s">
        <v>151</v>
      </c>
      <c r="B98" s="28" t="s">
        <v>152</v>
      </c>
      <c r="C98" s="113">
        <f>+[4]BS17!F74</f>
        <v>203</v>
      </c>
      <c r="D98" s="114">
        <f>+[4]BS17!G74</f>
        <v>11</v>
      </c>
      <c r="E98" s="115">
        <f>+[4]BS17!H74</f>
        <v>0</v>
      </c>
      <c r="F98" s="116">
        <f>[4]BS17A!V1346</f>
        <v>45515475</v>
      </c>
    </row>
    <row r="99" spans="1:6" ht="15" customHeight="1" x14ac:dyDescent="0.2">
      <c r="A99" s="22" t="s">
        <v>153</v>
      </c>
      <c r="B99" s="28" t="s">
        <v>154</v>
      </c>
      <c r="C99" s="113">
        <f>+[4]BS17!F75</f>
        <v>10</v>
      </c>
      <c r="D99" s="114">
        <f>+[4]BS17!G75</f>
        <v>0</v>
      </c>
      <c r="E99" s="115">
        <f>+[4]BS17!H75</f>
        <v>0</v>
      </c>
      <c r="F99" s="116">
        <f>[4]BS17A!V1430</f>
        <v>713870</v>
      </c>
    </row>
    <row r="100" spans="1:6" ht="15" customHeight="1" x14ac:dyDescent="0.2">
      <c r="A100" s="22" t="s">
        <v>155</v>
      </c>
      <c r="B100" s="28" t="s">
        <v>156</v>
      </c>
      <c r="C100" s="113">
        <f>+[4]BS17!F76</f>
        <v>21</v>
      </c>
      <c r="D100" s="114">
        <f>+[4]BS17!G76</f>
        <v>1</v>
      </c>
      <c r="E100" s="115">
        <f>+[4]BS17!H76</f>
        <v>0</v>
      </c>
      <c r="F100" s="116">
        <f>[4]BS17A!V1477</f>
        <v>3414300</v>
      </c>
    </row>
    <row r="101" spans="1:6" ht="15" customHeight="1" x14ac:dyDescent="0.2">
      <c r="A101" s="22" t="s">
        <v>157</v>
      </c>
      <c r="B101" s="28" t="s">
        <v>158</v>
      </c>
      <c r="C101" s="113">
        <f>+[4]BS17!F77</f>
        <v>5</v>
      </c>
      <c r="D101" s="114">
        <f>+[4]BS17!G77</f>
        <v>0</v>
      </c>
      <c r="E101" s="115">
        <f>+[4]BS17!H77</f>
        <v>0</v>
      </c>
      <c r="F101" s="116">
        <f>[4]BS17A!V1580</f>
        <v>872240</v>
      </c>
    </row>
    <row r="102" spans="1:6" ht="15" customHeight="1" x14ac:dyDescent="0.2">
      <c r="A102" s="65" t="s">
        <v>159</v>
      </c>
      <c r="B102" s="30" t="s">
        <v>160</v>
      </c>
      <c r="C102" s="117">
        <f>+[4]BS17!F78</f>
        <v>49</v>
      </c>
      <c r="D102" s="118">
        <f>+[4]BS17!G78</f>
        <v>10</v>
      </c>
      <c r="E102" s="119">
        <f>+[4]BS17!H78</f>
        <v>0</v>
      </c>
      <c r="F102" s="120">
        <f>[4]BS17A!V1585</f>
        <v>8669375</v>
      </c>
    </row>
    <row r="103" spans="1:6" ht="15" customHeight="1" x14ac:dyDescent="0.2">
      <c r="A103" s="17" t="s">
        <v>161</v>
      </c>
      <c r="B103" s="36" t="s">
        <v>162</v>
      </c>
      <c r="C103" s="109">
        <f>+[4]BS17!F79</f>
        <v>47</v>
      </c>
      <c r="D103" s="110">
        <f>+[4]BS17!G79</f>
        <v>0</v>
      </c>
      <c r="E103" s="111">
        <f>+[4]BS17!H79</f>
        <v>0</v>
      </c>
      <c r="F103" s="112">
        <f>+[4]BS17A!V1619</f>
        <v>4769450</v>
      </c>
    </row>
    <row r="104" spans="1:6" ht="15" customHeight="1" x14ac:dyDescent="0.2">
      <c r="A104" s="22"/>
      <c r="B104" s="28" t="s">
        <v>163</v>
      </c>
      <c r="C104" s="113">
        <f>+[4]BS17A!D1623</f>
        <v>0</v>
      </c>
      <c r="D104" s="114">
        <f>+[4]BS17A!F1623</f>
        <v>0</v>
      </c>
      <c r="E104" s="115">
        <f>+[4]BS17A!G1623</f>
        <v>0</v>
      </c>
      <c r="F104" s="116">
        <f>+[4]BS17A!V1623</f>
        <v>0</v>
      </c>
    </row>
    <row r="105" spans="1:6" ht="15" customHeight="1" x14ac:dyDescent="0.2">
      <c r="A105" s="22"/>
      <c r="B105" s="28" t="s">
        <v>164</v>
      </c>
      <c r="C105" s="113">
        <f>+[4]BS17A!D1622</f>
        <v>25</v>
      </c>
      <c r="D105" s="114">
        <f>+[4]BS17A!F1622</f>
        <v>0</v>
      </c>
      <c r="E105" s="115">
        <f>+[4]BS17A!G1622</f>
        <v>0</v>
      </c>
      <c r="F105" s="116">
        <f>+[4]BS17A!V1622</f>
        <v>2864250</v>
      </c>
    </row>
    <row r="106" spans="1:6" ht="15" customHeight="1" x14ac:dyDescent="0.2">
      <c r="A106" s="29"/>
      <c r="B106" s="39" t="s">
        <v>165</v>
      </c>
      <c r="C106" s="121">
        <f>+[4]BS17A!D1620+[4]BS17A!D1621</f>
        <v>22</v>
      </c>
      <c r="D106" s="122">
        <f>+[4]BS17A!F1620+[4]BS17A!F1621</f>
        <v>0</v>
      </c>
      <c r="E106" s="123">
        <f>+[4]BS17A!G1620+[4]BS17A!G1621</f>
        <v>0</v>
      </c>
      <c r="F106" s="124">
        <f>+[4]BS17A!V1620+[4]BS17A!V1621</f>
        <v>1905200</v>
      </c>
    </row>
    <row r="107" spans="1:6" ht="15" customHeight="1" x14ac:dyDescent="0.2">
      <c r="A107" s="59" t="s">
        <v>166</v>
      </c>
      <c r="B107" s="79" t="s">
        <v>167</v>
      </c>
      <c r="C107" s="125">
        <f>+[4]BS17!F80</f>
        <v>45</v>
      </c>
      <c r="D107" s="126">
        <f>+[4]BS17!G80</f>
        <v>1</v>
      </c>
      <c r="E107" s="127">
        <f>+[4]BS17!H80</f>
        <v>0</v>
      </c>
      <c r="F107" s="128">
        <f>+[4]BS17A!V1627</f>
        <v>6595650</v>
      </c>
    </row>
    <row r="108" spans="1:6" ht="15" customHeight="1" x14ac:dyDescent="0.2">
      <c r="A108" s="129">
        <v>2106</v>
      </c>
      <c r="B108" s="39" t="s">
        <v>168</v>
      </c>
      <c r="C108" s="121">
        <f>[4]BS17A!D1833</f>
        <v>1</v>
      </c>
      <c r="D108" s="122">
        <f>[4]BS17A!F1833</f>
        <v>0</v>
      </c>
      <c r="E108" s="123">
        <f>[4]BS17A!G1833</f>
        <v>0</v>
      </c>
      <c r="F108" s="124">
        <f>+[4]BS17A!V1833</f>
        <v>47910</v>
      </c>
    </row>
    <row r="109" spans="1:6" ht="15" customHeight="1" x14ac:dyDescent="0.2">
      <c r="A109" s="130"/>
      <c r="B109" s="131" t="s">
        <v>169</v>
      </c>
      <c r="C109" s="132">
        <f>SUM(C90:C108)-C103</f>
        <v>704</v>
      </c>
      <c r="D109" s="133">
        <f>SUM(D90:D108)-D103</f>
        <v>27</v>
      </c>
      <c r="E109" s="134">
        <f>+SUM(E90:E103)+E107+E108</f>
        <v>0</v>
      </c>
      <c r="F109" s="135">
        <f>+SUM(F90:F103)+F107+F108</f>
        <v>115098825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256" t="s">
        <v>170</v>
      </c>
      <c r="B112" s="252"/>
      <c r="C112" s="252"/>
      <c r="D112" s="252"/>
      <c r="E112" s="253"/>
      <c r="F112" s="5"/>
    </row>
    <row r="113" spans="1:6" ht="38.25" x14ac:dyDescent="0.2">
      <c r="A113" s="11" t="s">
        <v>8</v>
      </c>
      <c r="B113" s="11" t="s">
        <v>9</v>
      </c>
      <c r="C113" s="12" t="s">
        <v>10</v>
      </c>
      <c r="D113" s="13" t="s">
        <v>11</v>
      </c>
      <c r="E113" s="1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19">
        <f>+[4]BS17A!D1624</f>
        <v>100</v>
      </c>
      <c r="D114" s="136">
        <f>+[4]BS17A!U1624</f>
        <v>114560</v>
      </c>
      <c r="E114" s="137">
        <f>+[4]BS17A!V1624</f>
        <v>11456000</v>
      </c>
      <c r="F114" s="8"/>
    </row>
    <row r="115" spans="1:6" ht="15" customHeight="1" x14ac:dyDescent="0.2">
      <c r="A115" s="29" t="s">
        <v>173</v>
      </c>
      <c r="B115" s="138" t="s">
        <v>174</v>
      </c>
      <c r="C115" s="66">
        <f>+[4]BS17A!D1625</f>
        <v>7</v>
      </c>
      <c r="D115" s="139">
        <f>+[4]BS17A!U1625</f>
        <v>120540</v>
      </c>
      <c r="E115" s="106">
        <f>+[4]BS17A!V1625</f>
        <v>843780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107</v>
      </c>
      <c r="D116" s="57"/>
      <c r="E116" s="107">
        <f>SUM(E114:E115)</f>
        <v>12299780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262" t="s">
        <v>176</v>
      </c>
      <c r="B119" s="262"/>
      <c r="C119" s="262"/>
      <c r="D119" s="8"/>
      <c r="E119" s="8"/>
      <c r="F119" s="5"/>
    </row>
    <row r="120" spans="1:6" ht="28.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+[4]BS17A!V1859+[4]BS17A!V1876+[4]BS17A!V1895</f>
        <v>12538150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256" t="s">
        <v>179</v>
      </c>
      <c r="B124" s="252"/>
      <c r="C124" s="252"/>
      <c r="D124" s="252"/>
      <c r="E124" s="253"/>
      <c r="F124" s="5"/>
    </row>
    <row r="125" spans="1:6" ht="38.25" x14ac:dyDescent="0.2">
      <c r="A125" s="11" t="s">
        <v>8</v>
      </c>
      <c r="B125" s="11" t="s">
        <v>9</v>
      </c>
      <c r="C125" s="12" t="s">
        <v>10</v>
      </c>
      <c r="D125" s="13" t="s">
        <v>11</v>
      </c>
      <c r="E125" s="1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19">
        <f>+[4]BS17A!$D59</f>
        <v>4962</v>
      </c>
      <c r="D126" s="37">
        <f>+[4]BS17A!$U59</f>
        <v>29340</v>
      </c>
      <c r="E126" s="145">
        <f>+[4]BS17A!$V59</f>
        <v>145585080</v>
      </c>
      <c r="F126" s="8"/>
    </row>
    <row r="127" spans="1:6" ht="15" customHeight="1" x14ac:dyDescent="0.2">
      <c r="A127" s="22" t="s">
        <v>182</v>
      </c>
      <c r="B127" s="23" t="s">
        <v>183</v>
      </c>
      <c r="C127" s="24">
        <f>+[4]BS17A!$D60</f>
        <v>0</v>
      </c>
      <c r="D127" s="25">
        <f>+[4]BS17A!$U60</f>
        <v>27010</v>
      </c>
      <c r="E127" s="146">
        <f>+[4]BS17A!$V60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24">
        <f>+[4]BS17A!$D61</f>
        <v>0</v>
      </c>
      <c r="D128" s="25">
        <f>+[4]BS17A!$U61</f>
        <v>22520</v>
      </c>
      <c r="E128" s="146">
        <f>+[4]BS17A!$V61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24">
        <f>SUM([4]BS17A!D62:D64)</f>
        <v>0</v>
      </c>
      <c r="D129" s="25">
        <f>+[4]BS17A!$U62</f>
        <v>121970</v>
      </c>
      <c r="E129" s="146">
        <f>SUM([4]BS17A!V62:V64)</f>
        <v>0</v>
      </c>
      <c r="F129" s="8"/>
    </row>
    <row r="130" spans="1:6" ht="15" customHeight="1" x14ac:dyDescent="0.2">
      <c r="A130" s="22" t="s">
        <v>188</v>
      </c>
      <c r="B130" s="23" t="s">
        <v>189</v>
      </c>
      <c r="C130" s="24">
        <f>SUM([4]BS17A!D65:D67)</f>
        <v>297</v>
      </c>
      <c r="D130" s="25">
        <f>+[4]BS17A!$U65</f>
        <v>58920</v>
      </c>
      <c r="E130" s="146">
        <f>SUM([4]BS17A!V65:V67)</f>
        <v>17499240</v>
      </c>
      <c r="F130" s="8"/>
    </row>
    <row r="131" spans="1:6" ht="15" customHeight="1" x14ac:dyDescent="0.2">
      <c r="A131" s="22" t="s">
        <v>190</v>
      </c>
      <c r="B131" s="23" t="s">
        <v>191</v>
      </c>
      <c r="C131" s="24">
        <f>+[4]BS17A!D68</f>
        <v>144</v>
      </c>
      <c r="D131" s="25">
        <f>+[4]BS17A!$U68</f>
        <v>52860</v>
      </c>
      <c r="E131" s="146">
        <f>+[4]BS17A!$V68</f>
        <v>7611840</v>
      </c>
      <c r="F131" s="8"/>
    </row>
    <row r="132" spans="1:6" ht="15" customHeight="1" x14ac:dyDescent="0.2">
      <c r="A132" s="22" t="s">
        <v>192</v>
      </c>
      <c r="B132" s="23" t="s">
        <v>193</v>
      </c>
      <c r="C132" s="24">
        <f>+[4]BS17A!$D69</f>
        <v>0</v>
      </c>
      <c r="D132" s="25">
        <f>+[4]BS17A!$U69</f>
        <v>15000</v>
      </c>
      <c r="E132" s="146">
        <f>+[4]BS17A!$V69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24">
        <f>+[4]BS17A!$D70</f>
        <v>0</v>
      </c>
      <c r="D133" s="25">
        <f>+[4]BS17A!$U70</f>
        <v>23500</v>
      </c>
      <c r="E133" s="146">
        <f>+[4]BS17A!$V70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24">
        <f>+[4]BS17A!$D73</f>
        <v>0</v>
      </c>
      <c r="D134" s="25">
        <f>+[4]BS17A!$U73</f>
        <v>23690</v>
      </c>
      <c r="E134" s="146">
        <f>+[4]BS17A!$V73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24">
        <f>+[4]BS17A!$D71</f>
        <v>0</v>
      </c>
      <c r="D135" s="25">
        <f>+[4]BS17A!$U71</f>
        <v>24460</v>
      </c>
      <c r="E135" s="146">
        <f>+[4]BS17A!$V71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24">
        <f>+[4]BS17A!$D76</f>
        <v>0</v>
      </c>
      <c r="D136" s="25">
        <f>+[4]BS17A!$U76</f>
        <v>29340</v>
      </c>
      <c r="E136" s="146">
        <f>+[4]BS17A!$V76</f>
        <v>0</v>
      </c>
      <c r="F136" s="8"/>
    </row>
    <row r="137" spans="1:6" ht="15" customHeight="1" x14ac:dyDescent="0.2">
      <c r="A137" s="22" t="s">
        <v>202</v>
      </c>
      <c r="B137" s="28" t="s">
        <v>203</v>
      </c>
      <c r="C137" s="24">
        <f>+[4]BS17A!$D79</f>
        <v>0</v>
      </c>
      <c r="D137" s="25">
        <f>+[4]BS17A!$U79</f>
        <v>5690</v>
      </c>
      <c r="E137" s="146">
        <f>+[4]BS17A!$V79</f>
        <v>0</v>
      </c>
      <c r="F137" s="8"/>
    </row>
    <row r="138" spans="1:6" ht="15" customHeight="1" x14ac:dyDescent="0.2">
      <c r="A138" s="22" t="s">
        <v>204</v>
      </c>
      <c r="B138" s="28" t="s">
        <v>205</v>
      </c>
      <c r="C138" s="24">
        <f>+[4]BS17A!$D80</f>
        <v>0</v>
      </c>
      <c r="D138" s="25">
        <f>+[4]BS17A!$U80</f>
        <v>41110</v>
      </c>
      <c r="E138" s="146">
        <f>+[4]BS17A!$V80</f>
        <v>0</v>
      </c>
      <c r="F138" s="8"/>
    </row>
    <row r="139" spans="1:6" ht="15" customHeight="1" x14ac:dyDescent="0.2">
      <c r="A139" s="29"/>
      <c r="B139" s="147" t="s">
        <v>206</v>
      </c>
      <c r="C139" s="148">
        <f>SUM(C126:C138)</f>
        <v>5403</v>
      </c>
      <c r="D139" s="149"/>
      <c r="E139" s="150">
        <f>SUM(E126:E138)</f>
        <v>170696160</v>
      </c>
      <c r="F139" s="8"/>
    </row>
    <row r="140" spans="1:6" ht="15" customHeight="1" x14ac:dyDescent="0.2">
      <c r="A140" s="17"/>
      <c r="B140" s="81" t="s">
        <v>207</v>
      </c>
      <c r="C140" s="19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24">
        <f>+[4]BS17A!$D72</f>
        <v>0</v>
      </c>
      <c r="D141" s="25">
        <f>+[4]BS17A!$U72</f>
        <v>9860</v>
      </c>
      <c r="E141" s="146">
        <f>+[4]BS17A!$V72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24">
        <f>+[4]BS17A!$D74</f>
        <v>0</v>
      </c>
      <c r="D142" s="25">
        <f>+[4]BS17A!$U74</f>
        <v>9860</v>
      </c>
      <c r="E142" s="146">
        <f>+[4]BS17A!$V74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24">
        <f>+[4]BS17A!$D75</f>
        <v>19</v>
      </c>
      <c r="D143" s="25">
        <f>+[4]BS17A!$U75</f>
        <v>4350</v>
      </c>
      <c r="E143" s="146">
        <f>+[4]BS17A!$V75</f>
        <v>82650</v>
      </c>
      <c r="F143" s="8"/>
    </row>
    <row r="144" spans="1:6" ht="15" customHeight="1" x14ac:dyDescent="0.2">
      <c r="A144" s="22" t="s">
        <v>214</v>
      </c>
      <c r="B144" s="23" t="s">
        <v>215</v>
      </c>
      <c r="C144" s="24">
        <f>+[4]BS17A!$D77</f>
        <v>0</v>
      </c>
      <c r="D144" s="25">
        <f>+[4]BS17A!$U77</f>
        <v>79320</v>
      </c>
      <c r="E144" s="146">
        <f>+[4]BS17A!$V77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24">
        <f>+[4]BS17A!$D78</f>
        <v>0</v>
      </c>
      <c r="D145" s="25">
        <f>+[4]BS17A!$U78</f>
        <v>9360</v>
      </c>
      <c r="E145" s="146">
        <f>+[4]BS17A!$V78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24">
        <f>+[4]BS17A!$D81</f>
        <v>0</v>
      </c>
      <c r="D146" s="25">
        <f>+[4]BS17A!$U81</f>
        <v>7210</v>
      </c>
      <c r="E146" s="146">
        <f>+[4]BS17A!$V81</f>
        <v>0</v>
      </c>
      <c r="F146" s="8"/>
    </row>
    <row r="147" spans="1:6" ht="15" customHeight="1" x14ac:dyDescent="0.2">
      <c r="A147" s="29"/>
      <c r="B147" s="147" t="s">
        <v>220</v>
      </c>
      <c r="C147" s="148">
        <f>SUM(C141:C146)</f>
        <v>19</v>
      </c>
      <c r="D147" s="149"/>
      <c r="E147" s="150">
        <f>SUM(E141:E146)</f>
        <v>82650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5422</v>
      </c>
      <c r="D148" s="151"/>
      <c r="E148" s="152">
        <f>+E139+E147</f>
        <v>170778810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239" t="s">
        <v>222</v>
      </c>
      <c r="B151" s="240"/>
      <c r="C151" s="240"/>
      <c r="D151" s="240"/>
      <c r="E151" s="241"/>
      <c r="F151" s="5"/>
    </row>
    <row r="152" spans="1:6" ht="36" customHeight="1" x14ac:dyDescent="0.2">
      <c r="A152" s="11" t="s">
        <v>8</v>
      </c>
      <c r="B152" s="11" t="s">
        <v>9</v>
      </c>
      <c r="C152" s="12" t="s">
        <v>10</v>
      </c>
      <c r="D152" s="13" t="s">
        <v>11</v>
      </c>
      <c r="E152" s="1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19">
        <f>+[4]BS17A!D43</f>
        <v>2597</v>
      </c>
      <c r="D153" s="37">
        <f>[4]BS17A!U43</f>
        <v>680</v>
      </c>
      <c r="E153" s="145">
        <f>+[4]BS17A!V43</f>
        <v>1765960</v>
      </c>
      <c r="F153" s="8"/>
    </row>
    <row r="154" spans="1:6" ht="15" customHeight="1" x14ac:dyDescent="0.2">
      <c r="A154" s="29" t="s">
        <v>225</v>
      </c>
      <c r="B154" s="43" t="s">
        <v>226</v>
      </c>
      <c r="C154" s="31">
        <f>+[4]BS17A!D44+[4]BS17A!D45</f>
        <v>0</v>
      </c>
      <c r="D154" s="40">
        <f>[4]BS17A!U44</f>
        <v>100</v>
      </c>
      <c r="E154" s="153">
        <f>+[4]BS17A!V44+[4]BS17A!V45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2597</v>
      </c>
      <c r="D155" s="151"/>
      <c r="E155" s="152">
        <f>SUM(E153:E154)</f>
        <v>1765960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239" t="s">
        <v>228</v>
      </c>
      <c r="B158" s="240"/>
      <c r="C158" s="240"/>
      <c r="D158" s="240"/>
      <c r="E158" s="241"/>
      <c r="F158" s="5"/>
    </row>
    <row r="159" spans="1:6" ht="47.25" customHeight="1" x14ac:dyDescent="0.2">
      <c r="A159" s="11" t="s">
        <v>8</v>
      </c>
      <c r="B159" s="11" t="s">
        <v>9</v>
      </c>
      <c r="C159" s="12" t="s">
        <v>10</v>
      </c>
      <c r="D159" s="13" t="s">
        <v>11</v>
      </c>
      <c r="E159" s="1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+[4]BS17A!$D1470</f>
        <v>0</v>
      </c>
      <c r="D160" s="37">
        <f>+[4]BS17A!$U1470</f>
        <v>36940</v>
      </c>
      <c r="E160" s="145">
        <f>+[4]BS17A!$V1470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+[4]BS17A!$D1471</f>
        <v>0</v>
      </c>
      <c r="D161" s="25">
        <f>+[4]BS17A!$U1471</f>
        <v>23230</v>
      </c>
      <c r="E161" s="146">
        <f>+[4]BS17A!$V1471</f>
        <v>0</v>
      </c>
      <c r="F161" s="8"/>
    </row>
    <row r="162" spans="1:6" ht="15" customHeight="1" x14ac:dyDescent="0.2">
      <c r="A162" s="22" t="s">
        <v>233</v>
      </c>
      <c r="B162" s="28" t="s">
        <v>234</v>
      </c>
      <c r="C162" s="155">
        <f>+[4]BS17A!$D1472</f>
        <v>0</v>
      </c>
      <c r="D162" s="25">
        <f>+[4]BS17A!$U1472</f>
        <v>23230</v>
      </c>
      <c r="E162" s="146">
        <f>+[4]BS17A!$V1472</f>
        <v>0</v>
      </c>
      <c r="F162" s="8"/>
    </row>
    <row r="163" spans="1:6" ht="15" customHeight="1" x14ac:dyDescent="0.2">
      <c r="A163" s="22" t="s">
        <v>235</v>
      </c>
      <c r="B163" s="156" t="s">
        <v>236</v>
      </c>
      <c r="C163" s="155">
        <f>+[4]BS17A!$D1473</f>
        <v>0</v>
      </c>
      <c r="D163" s="25">
        <f>+[4]BS17A!$U1473</f>
        <v>703680</v>
      </c>
      <c r="E163" s="146">
        <f>+[4]BS17A!$V1473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+[4]BS17A!$D1474</f>
        <v>0</v>
      </c>
      <c r="D164" s="25">
        <f>+[4]BS17A!$U1474</f>
        <v>498630</v>
      </c>
      <c r="E164" s="146">
        <f>+[4]BS17A!$V1474</f>
        <v>0</v>
      </c>
      <c r="F164" s="8"/>
    </row>
    <row r="165" spans="1:6" ht="15" customHeight="1" x14ac:dyDescent="0.2">
      <c r="A165" s="65" t="s">
        <v>239</v>
      </c>
      <c r="B165" s="138" t="s">
        <v>240</v>
      </c>
      <c r="C165" s="155">
        <f>+[4]BS17A!$D1475</f>
        <v>0</v>
      </c>
      <c r="D165" s="25">
        <f>+[4]BS17A!$U1475</f>
        <v>42450</v>
      </c>
      <c r="E165" s="146">
        <f>+[4]BS17A!$V1475</f>
        <v>0</v>
      </c>
      <c r="F165" s="8"/>
    </row>
    <row r="166" spans="1:6" ht="15" customHeight="1" x14ac:dyDescent="0.2">
      <c r="A166" s="129">
        <v>1901029</v>
      </c>
      <c r="B166" s="157" t="s">
        <v>241</v>
      </c>
      <c r="C166" s="158">
        <f>+[4]BS17A!$D1476</f>
        <v>0</v>
      </c>
      <c r="D166" s="40">
        <f>+[4]BS17A!$U1476</f>
        <v>573040</v>
      </c>
      <c r="E166" s="153">
        <f>+[4]BS17A!$V1476</f>
        <v>0</v>
      </c>
      <c r="F166" s="8"/>
    </row>
    <row r="167" spans="1:6" ht="15" customHeight="1" x14ac:dyDescent="0.2">
      <c r="A167" s="159"/>
      <c r="B167" s="160" t="s">
        <v>242</v>
      </c>
      <c r="C167" s="161">
        <f>SUM(C160:C166)</f>
        <v>0</v>
      </c>
      <c r="D167" s="162"/>
      <c r="E167" s="163">
        <f>SUM(E160:E166)</f>
        <v>0</v>
      </c>
      <c r="F167" s="8"/>
    </row>
    <row r="168" spans="1:6" ht="12.75" x14ac:dyDescent="0.2">
      <c r="A168" s="8"/>
      <c r="B168" s="8"/>
      <c r="C168" s="8"/>
      <c r="D168" s="8"/>
      <c r="E168" s="8"/>
      <c r="F168" s="8"/>
    </row>
    <row r="169" spans="1:6" ht="18" customHeight="1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256" t="s">
        <v>243</v>
      </c>
      <c r="B170" s="252"/>
      <c r="C170" s="252"/>
      <c r="D170" s="252"/>
      <c r="E170" s="253"/>
      <c r="F170" s="5"/>
    </row>
    <row r="171" spans="1:6" ht="35.25" customHeight="1" x14ac:dyDescent="0.2">
      <c r="A171" s="11" t="s">
        <v>8</v>
      </c>
      <c r="B171" s="11" t="s">
        <v>9</v>
      </c>
      <c r="C171" s="12" t="s">
        <v>10</v>
      </c>
      <c r="D171" s="13" t="s">
        <v>11</v>
      </c>
      <c r="E171" s="14" t="s">
        <v>12</v>
      </c>
      <c r="F171" s="8"/>
    </row>
    <row r="172" spans="1:6" ht="12.75" customHeight="1" x14ac:dyDescent="0.2">
      <c r="A172" s="164">
        <v>1101004</v>
      </c>
      <c r="B172" s="165" t="s">
        <v>244</v>
      </c>
      <c r="C172" s="19">
        <f>+[4]BS17A!$D801</f>
        <v>0</v>
      </c>
      <c r="D172" s="37">
        <f>+[4]BS17A!$U801</f>
        <v>12660</v>
      </c>
      <c r="E172" s="145">
        <f>+[4]BS17A!$V801</f>
        <v>0</v>
      </c>
      <c r="F172" s="8"/>
    </row>
    <row r="173" spans="1:6" ht="12.75" customHeight="1" x14ac:dyDescent="0.2">
      <c r="A173" s="104">
        <v>1101006</v>
      </c>
      <c r="B173" s="166" t="s">
        <v>245</v>
      </c>
      <c r="C173" s="24">
        <f>+[4]BS17A!$D802</f>
        <v>10</v>
      </c>
      <c r="D173" s="25">
        <f>+[4]BS17A!$U802</f>
        <v>10140</v>
      </c>
      <c r="E173" s="146">
        <f>+[4]BS17A!$V802</f>
        <v>101400</v>
      </c>
      <c r="F173" s="8"/>
    </row>
    <row r="174" spans="1:6" ht="24.75" customHeight="1" x14ac:dyDescent="0.2">
      <c r="A174" s="104" t="s">
        <v>246</v>
      </c>
      <c r="B174" s="167" t="s">
        <v>247</v>
      </c>
      <c r="C174" s="24">
        <f>+[4]BS17A!$D1186</f>
        <v>722</v>
      </c>
      <c r="D174" s="25">
        <f>+[4]BS17A!$U1186</f>
        <v>4340</v>
      </c>
      <c r="E174" s="146">
        <f>+[4]BS17A!$V1186</f>
        <v>3133480</v>
      </c>
      <c r="F174" s="8"/>
    </row>
    <row r="175" spans="1:6" ht="24.75" customHeight="1" x14ac:dyDescent="0.2">
      <c r="A175" s="104" t="s">
        <v>248</v>
      </c>
      <c r="B175" s="167" t="s">
        <v>249</v>
      </c>
      <c r="C175" s="24">
        <f>+[4]BS17A!$D1187</f>
        <v>18</v>
      </c>
      <c r="D175" s="25">
        <f>+[4]BS17A!$U1187</f>
        <v>12240</v>
      </c>
      <c r="E175" s="146">
        <f>+[4]BS17A!$V1187</f>
        <v>220320</v>
      </c>
      <c r="F175" s="8"/>
    </row>
    <row r="176" spans="1:6" ht="24.75" customHeight="1" x14ac:dyDescent="0.2">
      <c r="A176" s="104" t="s">
        <v>250</v>
      </c>
      <c r="B176" s="167" t="s">
        <v>251</v>
      </c>
      <c r="C176" s="24">
        <f>+[4]BS17A!$D1188</f>
        <v>28</v>
      </c>
      <c r="D176" s="25">
        <f>+[4]BS17A!$U1188</f>
        <v>20750</v>
      </c>
      <c r="E176" s="146">
        <f>+[4]BS17A!$V1188</f>
        <v>581000</v>
      </c>
      <c r="F176" s="8"/>
    </row>
    <row r="177" spans="1:6" ht="12.75" customHeight="1" x14ac:dyDescent="0.2">
      <c r="A177" s="104" t="s">
        <v>252</v>
      </c>
      <c r="B177" s="167" t="s">
        <v>253</v>
      </c>
      <c r="C177" s="24">
        <f>+[4]BS17A!$D1189</f>
        <v>0</v>
      </c>
      <c r="D177" s="25">
        <f>+[4]BS17A!$U1189</f>
        <v>39600</v>
      </c>
      <c r="E177" s="146">
        <f>+[4]BS17A!$V1189</f>
        <v>0</v>
      </c>
      <c r="F177" s="8"/>
    </row>
    <row r="178" spans="1:6" ht="12.75" customHeight="1" x14ac:dyDescent="0.2">
      <c r="A178" s="104" t="s">
        <v>254</v>
      </c>
      <c r="B178" s="167" t="s">
        <v>255</v>
      </c>
      <c r="C178" s="24">
        <f>+[4]BS17A!$D1190</f>
        <v>68</v>
      </c>
      <c r="D178" s="25">
        <f>+[4]BS17A!$U1190</f>
        <v>44140</v>
      </c>
      <c r="E178" s="146">
        <f>+[4]BS17A!$V1190</f>
        <v>3001520</v>
      </c>
      <c r="F178" s="8"/>
    </row>
    <row r="179" spans="1:6" ht="24.75" customHeight="1" x14ac:dyDescent="0.2">
      <c r="A179" s="104" t="s">
        <v>256</v>
      </c>
      <c r="B179" s="167" t="s">
        <v>257</v>
      </c>
      <c r="C179" s="24">
        <f>+[4]BS17A!$D1191</f>
        <v>0</v>
      </c>
      <c r="D179" s="25">
        <f>+[4]BS17A!$U1191</f>
        <v>24760</v>
      </c>
      <c r="E179" s="146">
        <f>+[4]BS17A!$V1191</f>
        <v>0</v>
      </c>
      <c r="F179" s="8"/>
    </row>
    <row r="180" spans="1:6" ht="12.75" customHeight="1" x14ac:dyDescent="0.2">
      <c r="A180" s="104" t="s">
        <v>258</v>
      </c>
      <c r="B180" s="156" t="s">
        <v>259</v>
      </c>
      <c r="C180" s="24">
        <f>+[4]BS17A!$D1192</f>
        <v>0</v>
      </c>
      <c r="D180" s="25">
        <f>+[4]BS17A!$U1192</f>
        <v>191590</v>
      </c>
      <c r="E180" s="146">
        <f>+[4]BS17A!$V1192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24">
        <f>+[4]BS17A!$D1193</f>
        <v>0</v>
      </c>
      <c r="D181" s="25">
        <f>+[4]BS17A!$U1193</f>
        <v>217800</v>
      </c>
      <c r="E181" s="146">
        <f>+[4]BS17A!$V1193</f>
        <v>0</v>
      </c>
      <c r="F181" s="8"/>
    </row>
    <row r="182" spans="1:6" ht="12.75" customHeight="1" x14ac:dyDescent="0.2">
      <c r="A182" s="104" t="s">
        <v>262</v>
      </c>
      <c r="B182" s="167" t="s">
        <v>263</v>
      </c>
      <c r="C182" s="24">
        <f>+[4]BS17A!$D1194</f>
        <v>0</v>
      </c>
      <c r="D182" s="25">
        <f>+[4]BS17A!$U1194</f>
        <v>177610</v>
      </c>
      <c r="E182" s="146">
        <f>+[4]BS17A!$V1194</f>
        <v>0</v>
      </c>
      <c r="F182" s="8"/>
    </row>
    <row r="183" spans="1:6" ht="24.75" customHeight="1" x14ac:dyDescent="0.2">
      <c r="A183" s="104" t="s">
        <v>264</v>
      </c>
      <c r="B183" s="156" t="s">
        <v>265</v>
      </c>
      <c r="C183" s="24">
        <f>+[4]BS17A!$D1195</f>
        <v>0</v>
      </c>
      <c r="D183" s="25">
        <f>+[4]BS17A!$U1195</f>
        <v>228130</v>
      </c>
      <c r="E183" s="146">
        <f>+[4]BS17A!$V1195</f>
        <v>0</v>
      </c>
      <c r="F183" s="8"/>
    </row>
    <row r="184" spans="1:6" ht="24.75" customHeight="1" x14ac:dyDescent="0.2">
      <c r="A184" s="104" t="s">
        <v>266</v>
      </c>
      <c r="B184" s="156" t="s">
        <v>267</v>
      </c>
      <c r="C184" s="24">
        <f>+[4]BS17A!$D1196</f>
        <v>0</v>
      </c>
      <c r="D184" s="25">
        <f>+[4]BS17A!$U1196</f>
        <v>233440</v>
      </c>
      <c r="E184" s="146">
        <f>+[4]BS17A!$V1196</f>
        <v>0</v>
      </c>
      <c r="F184" s="8"/>
    </row>
    <row r="185" spans="1:6" ht="24.75" customHeight="1" x14ac:dyDescent="0.2">
      <c r="A185" s="104" t="s">
        <v>268</v>
      </c>
      <c r="B185" s="156" t="s">
        <v>269</v>
      </c>
      <c r="C185" s="24">
        <f>+[4]BS17A!$D1197</f>
        <v>0</v>
      </c>
      <c r="D185" s="25">
        <f>+[4]BS17A!$U1197</f>
        <v>197410</v>
      </c>
      <c r="E185" s="146">
        <f>+[4]BS17A!$V1197</f>
        <v>0</v>
      </c>
      <c r="F185" s="8"/>
    </row>
    <row r="186" spans="1:6" ht="12.75" customHeight="1" x14ac:dyDescent="0.2">
      <c r="A186" s="104" t="s">
        <v>270</v>
      </c>
      <c r="B186" s="156" t="s">
        <v>271</v>
      </c>
      <c r="C186" s="24">
        <f>+[4]BS17A!$D1198</f>
        <v>0</v>
      </c>
      <c r="D186" s="25">
        <f>+[4]BS17A!$U1198</f>
        <v>210720</v>
      </c>
      <c r="E186" s="146">
        <f>+[4]BS17A!$V1198</f>
        <v>0</v>
      </c>
      <c r="F186" s="8"/>
    </row>
    <row r="187" spans="1:6" ht="12.75" customHeight="1" x14ac:dyDescent="0.2">
      <c r="A187" s="104" t="s">
        <v>272</v>
      </c>
      <c r="B187" s="156" t="s">
        <v>273</v>
      </c>
      <c r="C187" s="24">
        <f>+[4]BS17A!$D1199</f>
        <v>0</v>
      </c>
      <c r="D187" s="25">
        <f>+[4]BS17A!$U1199</f>
        <v>251960</v>
      </c>
      <c r="E187" s="146">
        <f>+[4]BS17A!$V1199</f>
        <v>0</v>
      </c>
      <c r="F187" s="8"/>
    </row>
    <row r="188" spans="1:6" ht="24.75" customHeight="1" x14ac:dyDescent="0.2">
      <c r="A188" s="104" t="s">
        <v>274</v>
      </c>
      <c r="B188" s="167" t="s">
        <v>275</v>
      </c>
      <c r="C188" s="24">
        <f>+[4]BS17A!$D1200</f>
        <v>0</v>
      </c>
      <c r="D188" s="25">
        <f>+[4]BS17A!$U1200</f>
        <v>223440</v>
      </c>
      <c r="E188" s="146">
        <f>+[4]BS17A!$V1200</f>
        <v>0</v>
      </c>
      <c r="F188" s="8"/>
    </row>
    <row r="189" spans="1:6" ht="24.75" customHeight="1" x14ac:dyDescent="0.2">
      <c r="A189" s="104" t="s">
        <v>276</v>
      </c>
      <c r="B189" s="156" t="s">
        <v>277</v>
      </c>
      <c r="C189" s="24">
        <f>+[4]BS17A!$D1201</f>
        <v>0</v>
      </c>
      <c r="D189" s="25">
        <f>+[4]BS17A!$U1201</f>
        <v>1635110</v>
      </c>
      <c r="E189" s="146">
        <f>+[4]BS17A!$V1201</f>
        <v>0</v>
      </c>
      <c r="F189" s="8"/>
    </row>
    <row r="190" spans="1:6" ht="12.75" customHeight="1" x14ac:dyDescent="0.2">
      <c r="A190" s="104" t="s">
        <v>278</v>
      </c>
      <c r="B190" s="156" t="s">
        <v>279</v>
      </c>
      <c r="C190" s="24">
        <f>+[4]BS17A!$D1202</f>
        <v>0</v>
      </c>
      <c r="D190" s="25">
        <f>+[4]BS17A!$U1202</f>
        <v>1021290</v>
      </c>
      <c r="E190" s="146">
        <f>+[4]BS17A!$V1202</f>
        <v>0</v>
      </c>
      <c r="F190" s="8"/>
    </row>
    <row r="191" spans="1:6" ht="12.75" customHeight="1" x14ac:dyDescent="0.2">
      <c r="A191" s="22" t="s">
        <v>280</v>
      </c>
      <c r="B191" s="156" t="s">
        <v>281</v>
      </c>
      <c r="C191" s="24">
        <f>+[4]BS17A!$D1203</f>
        <v>0</v>
      </c>
      <c r="D191" s="25">
        <f>+[4]BS17A!$U1203</f>
        <v>988490</v>
      </c>
      <c r="E191" s="146">
        <f>+[4]BS17A!$V1203</f>
        <v>0</v>
      </c>
      <c r="F191" s="8"/>
    </row>
    <row r="192" spans="1:6" ht="24.75" customHeight="1" x14ac:dyDescent="0.2">
      <c r="A192" s="104" t="s">
        <v>282</v>
      </c>
      <c r="B192" s="156" t="s">
        <v>283</v>
      </c>
      <c r="C192" s="24">
        <f>+[4]BS17A!$D1204</f>
        <v>0</v>
      </c>
      <c r="D192" s="25">
        <f>+[4]BS17A!$U1204</f>
        <v>1035570</v>
      </c>
      <c r="E192" s="146">
        <f>+[4]BS17A!$V1204</f>
        <v>0</v>
      </c>
      <c r="F192" s="8"/>
    </row>
    <row r="193" spans="1:6" ht="12.75" customHeight="1" x14ac:dyDescent="0.2">
      <c r="A193" s="22" t="s">
        <v>284</v>
      </c>
      <c r="B193" s="156" t="s">
        <v>285</v>
      </c>
      <c r="C193" s="24">
        <f>+[4]BS17A!$D1205</f>
        <v>0</v>
      </c>
      <c r="D193" s="25">
        <f>+[4]BS17A!$U1205</f>
        <v>146540</v>
      </c>
      <c r="E193" s="146">
        <f>+[4]BS17A!$V1205</f>
        <v>0</v>
      </c>
      <c r="F193" s="8"/>
    </row>
    <row r="194" spans="1:6" ht="12.75" customHeight="1" x14ac:dyDescent="0.2">
      <c r="A194" s="22" t="s">
        <v>286</v>
      </c>
      <c r="B194" s="156" t="s">
        <v>287</v>
      </c>
      <c r="C194" s="24">
        <f>+[4]BS17A!$D1206</f>
        <v>0</v>
      </c>
      <c r="D194" s="25">
        <f>+[4]BS17A!$U1206</f>
        <v>334400</v>
      </c>
      <c r="E194" s="146">
        <f>+[4]BS17A!$V1206</f>
        <v>0</v>
      </c>
      <c r="F194" s="8"/>
    </row>
    <row r="195" spans="1:6" ht="12.75" customHeight="1" x14ac:dyDescent="0.2">
      <c r="A195" s="104" t="s">
        <v>288</v>
      </c>
      <c r="B195" s="156" t="s">
        <v>289</v>
      </c>
      <c r="C195" s="24">
        <f>+[4]BS17A!$D1207</f>
        <v>0</v>
      </c>
      <c r="D195" s="25">
        <f>+[4]BS17A!$U1207</f>
        <v>123970</v>
      </c>
      <c r="E195" s="146">
        <f>+[4]BS17A!$V1207</f>
        <v>0</v>
      </c>
      <c r="F195" s="8"/>
    </row>
    <row r="196" spans="1:6" ht="12.75" customHeight="1" x14ac:dyDescent="0.2">
      <c r="A196" s="104" t="s">
        <v>290</v>
      </c>
      <c r="B196" s="156" t="s">
        <v>291</v>
      </c>
      <c r="C196" s="24">
        <f>+[4]BS17A!$D1208</f>
        <v>0</v>
      </c>
      <c r="D196" s="25">
        <f>+[4]BS17A!$U1208</f>
        <v>1004460</v>
      </c>
      <c r="E196" s="146">
        <f>+[4]BS17A!$V1208</f>
        <v>0</v>
      </c>
      <c r="F196" s="8"/>
    </row>
    <row r="197" spans="1:6" ht="12.75" customHeight="1" x14ac:dyDescent="0.2">
      <c r="A197" s="104" t="s">
        <v>292</v>
      </c>
      <c r="B197" s="156" t="s">
        <v>293</v>
      </c>
      <c r="C197" s="24">
        <f>+[4]BS17A!$D1209</f>
        <v>0</v>
      </c>
      <c r="D197" s="25">
        <f>+[4]BS17A!$U1209</f>
        <v>1004460</v>
      </c>
      <c r="E197" s="146">
        <f>+[4]BS17A!$V1209</f>
        <v>0</v>
      </c>
      <c r="F197" s="8"/>
    </row>
    <row r="198" spans="1:6" ht="12.75" customHeight="1" x14ac:dyDescent="0.2">
      <c r="A198" s="104">
        <v>1801001</v>
      </c>
      <c r="B198" s="166" t="s">
        <v>294</v>
      </c>
      <c r="C198" s="24">
        <f>+[4]BS17A!$D1343</f>
        <v>35</v>
      </c>
      <c r="D198" s="25">
        <f>+[4]BS17A!$U1343</f>
        <v>29960</v>
      </c>
      <c r="E198" s="146">
        <f>+[4]BS17A!$V1343</f>
        <v>1048600</v>
      </c>
      <c r="F198" s="8"/>
    </row>
    <row r="199" spans="1:6" ht="12.75" customHeight="1" x14ac:dyDescent="0.2">
      <c r="A199" s="104">
        <v>1801003</v>
      </c>
      <c r="B199" s="156" t="s">
        <v>295</v>
      </c>
      <c r="C199" s="24">
        <f>+[4]BS17A!$D1344</f>
        <v>0</v>
      </c>
      <c r="D199" s="25">
        <f>+[4]BS17A!$U1344</f>
        <v>36140</v>
      </c>
      <c r="E199" s="146">
        <f>+[4]BS17A!$V1344</f>
        <v>0</v>
      </c>
      <c r="F199" s="8"/>
    </row>
    <row r="200" spans="1:6" ht="12.75" customHeight="1" x14ac:dyDescent="0.2">
      <c r="A200" s="104">
        <v>1801006</v>
      </c>
      <c r="B200" s="166" t="s">
        <v>296</v>
      </c>
      <c r="C200" s="24">
        <f>+[4]BS17A!$D1345</f>
        <v>4</v>
      </c>
      <c r="D200" s="25">
        <f>+[4]BS17A!$U1345</f>
        <v>38490</v>
      </c>
      <c r="E200" s="146">
        <f>+[4]BS17A!$V1345</f>
        <v>153960</v>
      </c>
      <c r="F200" s="8"/>
    </row>
    <row r="201" spans="1:6" ht="24.75" customHeight="1" x14ac:dyDescent="0.2">
      <c r="A201" s="104" t="s">
        <v>297</v>
      </c>
      <c r="B201" s="166" t="s">
        <v>298</v>
      </c>
      <c r="C201" s="24">
        <f>[4]BS17A!D1032</f>
        <v>0</v>
      </c>
      <c r="D201" s="25">
        <f>[4]BS17A!U1032</f>
        <v>8100</v>
      </c>
      <c r="E201" s="146">
        <f>[4]BS17A!V1032</f>
        <v>0</v>
      </c>
      <c r="F201" s="8"/>
    </row>
    <row r="202" spans="1:6" ht="24.75" customHeight="1" x14ac:dyDescent="0.2">
      <c r="A202" s="168" t="s">
        <v>299</v>
      </c>
      <c r="B202" s="169" t="s">
        <v>300</v>
      </c>
      <c r="C202" s="88">
        <f>[4]BS17A!D803</f>
        <v>0</v>
      </c>
      <c r="D202" s="170">
        <f>[4]BS17A!U803</f>
        <v>343800</v>
      </c>
      <c r="E202" s="171">
        <f>[4]BS17A!V803</f>
        <v>0</v>
      </c>
      <c r="F202" s="8"/>
    </row>
    <row r="203" spans="1:6" ht="17.25" customHeight="1" x14ac:dyDescent="0.2">
      <c r="A203" s="130"/>
      <c r="B203" s="131" t="s">
        <v>301</v>
      </c>
      <c r="C203" s="44">
        <f>SUM(C172:C202)</f>
        <v>885</v>
      </c>
      <c r="D203" s="151"/>
      <c r="E203" s="152">
        <f>SUM(E172:E202)</f>
        <v>8240280</v>
      </c>
      <c r="F203" s="8"/>
    </row>
    <row r="204" spans="1:6" ht="21.75" customHeight="1" x14ac:dyDescent="0.2">
      <c r="A204" s="8"/>
      <c r="B204" s="8"/>
      <c r="C204" s="8"/>
      <c r="D204" s="8"/>
      <c r="E204" s="8"/>
      <c r="F204" s="8"/>
    </row>
    <row r="205" spans="1:6" ht="19.5" customHeight="1" x14ac:dyDescent="0.2">
      <c r="A205" s="8"/>
      <c r="B205" s="8"/>
      <c r="C205" s="8"/>
      <c r="D205" s="8"/>
      <c r="E205" s="8"/>
      <c r="F205" s="8"/>
    </row>
    <row r="206" spans="1:6" ht="18" customHeight="1" x14ac:dyDescent="0.2">
      <c r="A206" s="256" t="s">
        <v>302</v>
      </c>
      <c r="B206" s="252"/>
      <c r="C206" s="252"/>
      <c r="D206" s="252"/>
      <c r="E206" s="253"/>
      <c r="F206" s="5"/>
    </row>
    <row r="207" spans="1:6" ht="39.75" customHeight="1" x14ac:dyDescent="0.2">
      <c r="A207" s="11" t="s">
        <v>8</v>
      </c>
      <c r="B207" s="11" t="s">
        <v>9</v>
      </c>
      <c r="C207" s="12" t="s">
        <v>10</v>
      </c>
      <c r="D207" s="13" t="s">
        <v>11</v>
      </c>
      <c r="E207" s="14" t="s">
        <v>12</v>
      </c>
      <c r="F207" s="5"/>
    </row>
    <row r="208" spans="1:6" ht="12.75" customHeight="1" x14ac:dyDescent="0.2">
      <c r="A208" s="17" t="s">
        <v>303</v>
      </c>
      <c r="B208" s="42" t="s">
        <v>304</v>
      </c>
      <c r="C208" s="19">
        <f>+[4]BS17A!$D18</f>
        <v>0</v>
      </c>
      <c r="D208" s="37">
        <f>+[4]BS17A!$U18</f>
        <v>12540</v>
      </c>
      <c r="E208" s="145">
        <f>+[4]BS17A!$V18</f>
        <v>0</v>
      </c>
      <c r="F208" s="8"/>
    </row>
    <row r="209" spans="1:6" ht="12.75" customHeight="1" x14ac:dyDescent="0.2">
      <c r="A209" s="22" t="s">
        <v>305</v>
      </c>
      <c r="B209" s="23" t="s">
        <v>306</v>
      </c>
      <c r="C209" s="24">
        <f>+[4]BS17A!$D19</f>
        <v>196</v>
      </c>
      <c r="D209" s="25">
        <f>+[4]BS17A!$U19</f>
        <v>12540</v>
      </c>
      <c r="E209" s="146">
        <f>+[4]BS17A!$V19</f>
        <v>2457840</v>
      </c>
      <c r="F209" s="8"/>
    </row>
    <row r="210" spans="1:6" ht="12.75" customHeight="1" x14ac:dyDescent="0.2">
      <c r="A210" s="22" t="s">
        <v>307</v>
      </c>
      <c r="B210" s="28" t="s">
        <v>308</v>
      </c>
      <c r="C210" s="24">
        <f>+[4]BS17A!$D47</f>
        <v>0</v>
      </c>
      <c r="D210" s="25">
        <f>+[4]BS17A!$U47</f>
        <v>1200</v>
      </c>
      <c r="E210" s="146">
        <f>+[4]BS17A!$V47</f>
        <v>0</v>
      </c>
      <c r="F210" s="8"/>
    </row>
    <row r="211" spans="1:6" ht="12.75" customHeight="1" x14ac:dyDescent="0.2">
      <c r="A211" s="22" t="s">
        <v>309</v>
      </c>
      <c r="B211" s="28" t="s">
        <v>310</v>
      </c>
      <c r="C211" s="24">
        <f>+[4]BS17A!$D48</f>
        <v>472</v>
      </c>
      <c r="D211" s="25">
        <f>+[4]BS17A!$U48</f>
        <v>580</v>
      </c>
      <c r="E211" s="146">
        <f>+[4]BS17A!$V48</f>
        <v>273760</v>
      </c>
      <c r="F211" s="8"/>
    </row>
    <row r="212" spans="1:6" ht="12.75" customHeight="1" x14ac:dyDescent="0.2">
      <c r="A212" s="22" t="s">
        <v>311</v>
      </c>
      <c r="B212" s="23" t="s">
        <v>312</v>
      </c>
      <c r="C212" s="24">
        <f>+[4]BS17A!$D49</f>
        <v>926</v>
      </c>
      <c r="D212" s="25">
        <f>+[4]BS17A!$U49</f>
        <v>1780</v>
      </c>
      <c r="E212" s="146">
        <f>+[4]BS17A!$V49</f>
        <v>1648280</v>
      </c>
      <c r="F212" s="8"/>
    </row>
    <row r="213" spans="1:6" ht="12.75" customHeight="1" x14ac:dyDescent="0.2">
      <c r="A213" s="22" t="s">
        <v>313</v>
      </c>
      <c r="B213" s="23" t="s">
        <v>314</v>
      </c>
      <c r="C213" s="24">
        <f>+[4]BS17A!$D50</f>
        <v>40</v>
      </c>
      <c r="D213" s="25">
        <f>+[4]BS17A!$U50</f>
        <v>13350</v>
      </c>
      <c r="E213" s="146">
        <f>+[4]BS17A!$V50</f>
        <v>534000</v>
      </c>
      <c r="F213" s="8"/>
    </row>
    <row r="214" spans="1:6" ht="12.75" customHeight="1" x14ac:dyDescent="0.2">
      <c r="A214" s="22" t="s">
        <v>315</v>
      </c>
      <c r="B214" s="28" t="s">
        <v>316</v>
      </c>
      <c r="C214" s="24">
        <f>+[4]BS17A!$D51</f>
        <v>92</v>
      </c>
      <c r="D214" s="25">
        <f>+[4]BS17A!$U51</f>
        <v>30660</v>
      </c>
      <c r="E214" s="146">
        <f>+[4]BS17A!$V51</f>
        <v>2820720</v>
      </c>
      <c r="F214" s="8"/>
    </row>
    <row r="215" spans="1:6" ht="12.75" customHeight="1" x14ac:dyDescent="0.2">
      <c r="A215" s="104" t="s">
        <v>317</v>
      </c>
      <c r="B215" s="28" t="s">
        <v>318</v>
      </c>
      <c r="C215" s="24">
        <f>+[4]BS17A!D52</f>
        <v>10</v>
      </c>
      <c r="D215" s="172"/>
      <c r="E215" s="146">
        <f>+[4]BS17A!V52</f>
        <v>76500</v>
      </c>
      <c r="F215" s="8"/>
    </row>
    <row r="216" spans="1:6" ht="12.75" customHeight="1" x14ac:dyDescent="0.2">
      <c r="A216" s="29" t="s">
        <v>319</v>
      </c>
      <c r="B216" s="43" t="s">
        <v>320</v>
      </c>
      <c r="C216" s="31">
        <f>+[4]BS17A!$D1849</f>
        <v>44</v>
      </c>
      <c r="D216" s="40">
        <f>+[4]BS17A!$U1849</f>
        <v>24850</v>
      </c>
      <c r="E216" s="153">
        <f>+[4]BS17A!$V1849</f>
        <v>1093400</v>
      </c>
      <c r="F216" s="8"/>
    </row>
    <row r="217" spans="1:6" ht="12.75" x14ac:dyDescent="0.2">
      <c r="A217" s="130"/>
      <c r="B217" s="131" t="s">
        <v>321</v>
      </c>
      <c r="C217" s="44">
        <f>SUM(C208:C216)</f>
        <v>1780</v>
      </c>
      <c r="D217" s="151"/>
      <c r="E217" s="171">
        <f>SUM(E208:E216)</f>
        <v>8904500</v>
      </c>
      <c r="F217" s="8"/>
    </row>
    <row r="218" spans="1:6" ht="17.25" customHeight="1" x14ac:dyDescent="0.2">
      <c r="A218" s="8"/>
      <c r="B218" s="8"/>
      <c r="C218" s="8"/>
      <c r="D218" s="8"/>
      <c r="E218" s="8"/>
      <c r="F218" s="8"/>
    </row>
    <row r="219" spans="1:6" ht="18" customHeight="1" x14ac:dyDescent="0.2">
      <c r="A219" s="8"/>
      <c r="B219" s="8"/>
      <c r="C219" s="8"/>
      <c r="D219" s="8"/>
      <c r="E219" s="8"/>
      <c r="F219" s="8"/>
    </row>
    <row r="220" spans="1:6" ht="27.75" customHeight="1" x14ac:dyDescent="0.2">
      <c r="A220" s="257" t="s">
        <v>322</v>
      </c>
      <c r="B220" s="258"/>
      <c r="C220" s="259"/>
      <c r="D220" s="8"/>
      <c r="E220" s="8"/>
      <c r="F220" s="5"/>
    </row>
    <row r="221" spans="1:6" ht="36.75" customHeight="1" x14ac:dyDescent="0.2">
      <c r="A221" s="11" t="s">
        <v>8</v>
      </c>
      <c r="B221" s="11" t="s">
        <v>10</v>
      </c>
      <c r="C221" s="11" t="s">
        <v>12</v>
      </c>
      <c r="D221" s="5"/>
      <c r="E221" s="8"/>
      <c r="F221" s="8"/>
    </row>
    <row r="222" spans="1:6" ht="15" customHeight="1" x14ac:dyDescent="0.2">
      <c r="A222" s="17" t="s">
        <v>323</v>
      </c>
      <c r="B222" s="173" t="s">
        <v>324</v>
      </c>
      <c r="C222" s="174"/>
      <c r="D222" s="175"/>
      <c r="E222" s="8"/>
      <c r="F222" s="8"/>
    </row>
    <row r="223" spans="1:6" ht="15" customHeight="1" x14ac:dyDescent="0.2">
      <c r="A223" s="176" t="s">
        <v>325</v>
      </c>
      <c r="B223" s="177" t="s">
        <v>326</v>
      </c>
      <c r="C223" s="178"/>
      <c r="D223" s="175"/>
      <c r="E223" s="8"/>
      <c r="F223" s="8"/>
    </row>
    <row r="224" spans="1:6" ht="18" customHeight="1" x14ac:dyDescent="0.2">
      <c r="A224" s="179"/>
      <c r="B224" s="180" t="s">
        <v>327</v>
      </c>
      <c r="C224" s="181">
        <f>SUM(C222:C223)</f>
        <v>0</v>
      </c>
      <c r="D224" s="175"/>
      <c r="E224" s="8"/>
      <c r="F224" s="8"/>
    </row>
    <row r="225" spans="1:7" ht="18" customHeight="1" x14ac:dyDescent="0.2">
      <c r="A225" s="8"/>
      <c r="B225" s="8"/>
      <c r="C225" s="8"/>
      <c r="D225" s="175"/>
      <c r="E225" s="175"/>
      <c r="F225" s="175"/>
    </row>
    <row r="226" spans="1:7" ht="18" customHeight="1" x14ac:dyDescent="0.2">
      <c r="A226" s="8"/>
      <c r="B226" s="8"/>
      <c r="C226" s="8"/>
      <c r="D226" s="8"/>
      <c r="E226" s="8"/>
      <c r="F226" s="175"/>
      <c r="G226" s="182"/>
    </row>
    <row r="227" spans="1:7" ht="18" customHeight="1" x14ac:dyDescent="0.2">
      <c r="A227" s="256" t="s">
        <v>328</v>
      </c>
      <c r="B227" s="252"/>
      <c r="C227" s="252"/>
      <c r="D227" s="252"/>
      <c r="E227" s="253"/>
      <c r="F227" s="175"/>
      <c r="G227" s="182"/>
    </row>
    <row r="228" spans="1:7" ht="64.5" customHeight="1" x14ac:dyDescent="0.2">
      <c r="A228" s="11" t="s">
        <v>8</v>
      </c>
      <c r="B228" s="11" t="s">
        <v>9</v>
      </c>
      <c r="C228" s="12" t="s">
        <v>10</v>
      </c>
      <c r="D228" s="13" t="s">
        <v>11</v>
      </c>
      <c r="E228" s="14" t="s">
        <v>12</v>
      </c>
      <c r="F228" s="175"/>
      <c r="G228" s="182"/>
    </row>
    <row r="229" spans="1:7" ht="15" customHeight="1" x14ac:dyDescent="0.2">
      <c r="A229" s="17" t="s">
        <v>329</v>
      </c>
      <c r="B229" s="42" t="s">
        <v>330</v>
      </c>
      <c r="C229" s="154">
        <f>+[4]BS17A!$D1920</f>
        <v>337</v>
      </c>
      <c r="D229" s="37">
        <f>+[4]BS17A!$U1920</f>
        <v>17150</v>
      </c>
      <c r="E229" s="145">
        <f>+[4]BS17A!$V1920</f>
        <v>5779550</v>
      </c>
      <c r="F229" s="8"/>
    </row>
    <row r="230" spans="1:7" ht="15" customHeight="1" x14ac:dyDescent="0.2">
      <c r="A230" s="29" t="s">
        <v>331</v>
      </c>
      <c r="B230" s="43" t="s">
        <v>332</v>
      </c>
      <c r="C230" s="158">
        <f>+[4]BS17A!$D1921</f>
        <v>0</v>
      </c>
      <c r="D230" s="40">
        <f>+[4]BS17A!$U1921</f>
        <v>215070</v>
      </c>
      <c r="E230" s="153">
        <f>+[4]BS17A!$V1921</f>
        <v>0</v>
      </c>
      <c r="F230" s="8"/>
    </row>
    <row r="231" spans="1:7" ht="18" customHeight="1" x14ac:dyDescent="0.2">
      <c r="A231" s="130"/>
      <c r="B231" s="131" t="s">
        <v>333</v>
      </c>
      <c r="C231" s="44">
        <f>SUM(C229:C230)</f>
        <v>337</v>
      </c>
      <c r="D231" s="151"/>
      <c r="E231" s="152">
        <f>SUM(E229:E230)</f>
        <v>5779550</v>
      </c>
      <c r="F231" s="8"/>
    </row>
    <row r="232" spans="1:7" ht="18" customHeight="1" x14ac:dyDescent="0.2">
      <c r="A232" s="183"/>
      <c r="B232" s="184"/>
      <c r="C232" s="185"/>
      <c r="D232" s="183"/>
      <c r="E232" s="183"/>
      <c r="F232" s="8"/>
    </row>
    <row r="233" spans="1:7" ht="18" customHeight="1" x14ac:dyDescent="0.2">
      <c r="A233" s="183"/>
      <c r="B233" s="184"/>
      <c r="C233" s="185"/>
      <c r="D233" s="183"/>
      <c r="E233" s="183"/>
      <c r="F233" s="8"/>
    </row>
    <row r="234" spans="1:7" ht="18" customHeight="1" x14ac:dyDescent="0.2">
      <c r="A234" s="251" t="s">
        <v>334</v>
      </c>
      <c r="B234" s="252"/>
      <c r="C234" s="252"/>
      <c r="D234" s="252"/>
      <c r="E234" s="253"/>
      <c r="F234" s="8"/>
    </row>
    <row r="235" spans="1:7" ht="38.25" x14ac:dyDescent="0.2">
      <c r="A235" s="11" t="s">
        <v>8</v>
      </c>
      <c r="B235" s="11" t="s">
        <v>9</v>
      </c>
      <c r="C235" s="12" t="s">
        <v>10</v>
      </c>
      <c r="D235" s="13" t="s">
        <v>11</v>
      </c>
      <c r="E235" s="14" t="s">
        <v>12</v>
      </c>
      <c r="F235" s="8"/>
    </row>
    <row r="236" spans="1:7" ht="18" customHeight="1" x14ac:dyDescent="0.2">
      <c r="A236" s="142" t="s">
        <v>335</v>
      </c>
      <c r="B236" s="186" t="s">
        <v>336</v>
      </c>
      <c r="C236" s="187">
        <f>[4]BS17A!D764</f>
        <v>494</v>
      </c>
      <c r="D236" s="188"/>
      <c r="E236" s="189">
        <f>[4]BS17A!V764</f>
        <v>3043560</v>
      </c>
      <c r="F236" s="8"/>
    </row>
    <row r="237" spans="1:7" ht="18" customHeight="1" x14ac:dyDescent="0.2">
      <c r="A237" s="183"/>
      <c r="B237" s="184"/>
      <c r="C237" s="185"/>
      <c r="D237" s="183"/>
      <c r="E237" s="183"/>
      <c r="F237" s="8"/>
    </row>
    <row r="238" spans="1:7" ht="18" customHeight="1" x14ac:dyDescent="0.2">
      <c r="A238" s="251" t="s">
        <v>337</v>
      </c>
      <c r="B238" s="254"/>
      <c r="C238" s="254"/>
      <c r="D238" s="254"/>
      <c r="E238" s="255"/>
      <c r="F238" s="8"/>
    </row>
    <row r="239" spans="1:7" ht="41.25" customHeight="1" x14ac:dyDescent="0.2">
      <c r="A239" s="11" t="s">
        <v>8</v>
      </c>
      <c r="B239" s="12" t="s">
        <v>338</v>
      </c>
      <c r="C239" s="100" t="s">
        <v>339</v>
      </c>
      <c r="D239" s="13" t="s">
        <v>11</v>
      </c>
      <c r="E239" s="14" t="s">
        <v>12</v>
      </c>
      <c r="F239" s="8"/>
    </row>
    <row r="240" spans="1:7" ht="15" customHeight="1" x14ac:dyDescent="0.2">
      <c r="A240" s="190" t="s">
        <v>340</v>
      </c>
      <c r="B240" s="191" t="s">
        <v>341</v>
      </c>
      <c r="C240" s="19">
        <f>+[4]BS17A!$D1923</f>
        <v>0</v>
      </c>
      <c r="D240" s="37">
        <f>+[4]BS17A!$U1923</f>
        <v>219670</v>
      </c>
      <c r="E240" s="145">
        <f>+[4]BS17A!$V1923</f>
        <v>0</v>
      </c>
      <c r="F240" s="8"/>
    </row>
    <row r="241" spans="1:6" ht="15" customHeight="1" x14ac:dyDescent="0.2">
      <c r="A241" s="192" t="s">
        <v>342</v>
      </c>
      <c r="B241" s="193" t="s">
        <v>343</v>
      </c>
      <c r="C241" s="24">
        <f>+[4]BS17A!$D1924</f>
        <v>0</v>
      </c>
      <c r="D241" s="25">
        <f>+[4]BS17A!$U1924</f>
        <v>31220</v>
      </c>
      <c r="E241" s="146">
        <f>+[4]BS17A!$V1924</f>
        <v>0</v>
      </c>
      <c r="F241" s="8"/>
    </row>
    <row r="242" spans="1:6" ht="15" customHeight="1" x14ac:dyDescent="0.2">
      <c r="A242" s="192" t="s">
        <v>344</v>
      </c>
      <c r="B242" s="193" t="s">
        <v>345</v>
      </c>
      <c r="C242" s="24">
        <f>+[4]BS17A!$D1925</f>
        <v>0</v>
      </c>
      <c r="D242" s="25">
        <f>+[4]BS17A!$U1925</f>
        <v>117730</v>
      </c>
      <c r="E242" s="146">
        <f>+[4]BS17A!$V1925</f>
        <v>0</v>
      </c>
      <c r="F242" s="8"/>
    </row>
    <row r="243" spans="1:6" ht="15" customHeight="1" x14ac:dyDescent="0.2">
      <c r="A243" s="192" t="s">
        <v>346</v>
      </c>
      <c r="B243" s="193" t="s">
        <v>347</v>
      </c>
      <c r="C243" s="24">
        <f>+[4]BS17A!$D1926</f>
        <v>0</v>
      </c>
      <c r="D243" s="25">
        <f>+[4]BS17A!$U1926</f>
        <v>117730</v>
      </c>
      <c r="E243" s="146">
        <f>+[4]BS17A!$V1926</f>
        <v>0</v>
      </c>
      <c r="F243" s="8"/>
    </row>
    <row r="244" spans="1:6" ht="15" customHeight="1" x14ac:dyDescent="0.2">
      <c r="A244" s="192" t="s">
        <v>348</v>
      </c>
      <c r="B244" s="193" t="s">
        <v>349</v>
      </c>
      <c r="C244" s="24">
        <f>+[4]BS17A!$D1927</f>
        <v>0</v>
      </c>
      <c r="D244" s="25">
        <f>+[4]BS17A!$U1927</f>
        <v>214360</v>
      </c>
      <c r="E244" s="146">
        <f>+[4]BS17A!$V1927</f>
        <v>0</v>
      </c>
      <c r="F244" s="8"/>
    </row>
    <row r="245" spans="1:6" ht="15" customHeight="1" x14ac:dyDescent="0.2">
      <c r="A245" s="192" t="s">
        <v>350</v>
      </c>
      <c r="B245" s="193" t="s">
        <v>351</v>
      </c>
      <c r="C245" s="24">
        <f>+[4]BS17A!$D1928</f>
        <v>0</v>
      </c>
      <c r="D245" s="25">
        <f>+[4]BS17A!$U1928</f>
        <v>328960</v>
      </c>
      <c r="E245" s="146">
        <f>+[4]BS17A!$V1928</f>
        <v>0</v>
      </c>
      <c r="F245" s="8"/>
    </row>
    <row r="246" spans="1:6" ht="15" customHeight="1" x14ac:dyDescent="0.2">
      <c r="A246" s="192" t="s">
        <v>352</v>
      </c>
      <c r="B246" s="193" t="s">
        <v>353</v>
      </c>
      <c r="C246" s="24">
        <f>+[4]BS17A!$D1929</f>
        <v>0</v>
      </c>
      <c r="D246" s="25">
        <f>+[4]BS17A!$U1929</f>
        <v>561180</v>
      </c>
      <c r="E246" s="146">
        <f>+[4]BS17A!$V1929</f>
        <v>0</v>
      </c>
      <c r="F246" s="8"/>
    </row>
    <row r="247" spans="1:6" ht="15" customHeight="1" x14ac:dyDescent="0.2">
      <c r="A247" s="194" t="s">
        <v>354</v>
      </c>
      <c r="B247" s="193" t="s">
        <v>355</v>
      </c>
      <c r="C247" s="24">
        <f>+[4]BS17A!$D1930</f>
        <v>0</v>
      </c>
      <c r="D247" s="25">
        <f>+[4]BS17A!$U1930</f>
        <v>116880</v>
      </c>
      <c r="E247" s="146">
        <f>+[4]BS17A!$V1930</f>
        <v>0</v>
      </c>
      <c r="F247" s="8"/>
    </row>
    <row r="248" spans="1:6" ht="15" customHeight="1" x14ac:dyDescent="0.2">
      <c r="A248" s="194" t="s">
        <v>356</v>
      </c>
      <c r="B248" s="193" t="s">
        <v>357</v>
      </c>
      <c r="C248" s="24">
        <f>+[4]BS17A!$D1931</f>
        <v>0</v>
      </c>
      <c r="D248" s="25">
        <f>+[4]BS17A!$U1931</f>
        <v>315020</v>
      </c>
      <c r="E248" s="146">
        <f>+[4]BS17A!$V1931</f>
        <v>0</v>
      </c>
      <c r="F248" s="8"/>
    </row>
    <row r="249" spans="1:6" ht="15" customHeight="1" x14ac:dyDescent="0.2">
      <c r="A249" s="194" t="s">
        <v>358</v>
      </c>
      <c r="B249" s="193" t="s">
        <v>359</v>
      </c>
      <c r="C249" s="66">
        <f>+[4]BS17A!$D1932</f>
        <v>0</v>
      </c>
      <c r="D249" s="32">
        <f>+[4]BS17A!$U1932</f>
        <v>132640</v>
      </c>
      <c r="E249" s="195">
        <f>+[4]BS17A!$V1932</f>
        <v>0</v>
      </c>
      <c r="F249" s="8"/>
    </row>
    <row r="250" spans="1:6" ht="15" customHeight="1" x14ac:dyDescent="0.2">
      <c r="A250" s="194" t="s">
        <v>360</v>
      </c>
      <c r="B250" s="193" t="s">
        <v>361</v>
      </c>
      <c r="C250" s="66">
        <f>+[4]BS17A!$D1933</f>
        <v>0</v>
      </c>
      <c r="D250" s="32">
        <f>+[4]BS17A!$U1933</f>
        <v>115270</v>
      </c>
      <c r="E250" s="195">
        <f>+[4]BS17A!$V1933</f>
        <v>0</v>
      </c>
      <c r="F250" s="8"/>
    </row>
    <row r="251" spans="1:6" ht="15" customHeight="1" x14ac:dyDescent="0.2">
      <c r="A251" s="194" t="s">
        <v>362</v>
      </c>
      <c r="B251" s="193" t="s">
        <v>363</v>
      </c>
      <c r="C251" s="66">
        <f>+[4]BS17A!$D1934</f>
        <v>0</v>
      </c>
      <c r="D251" s="32">
        <f>+[4]BS17A!$U1934</f>
        <v>175240</v>
      </c>
      <c r="E251" s="195">
        <f>+[4]BS17A!$V1934</f>
        <v>0</v>
      </c>
      <c r="F251" s="8"/>
    </row>
    <row r="252" spans="1:6" ht="15" customHeight="1" x14ac:dyDescent="0.2">
      <c r="A252" s="194" t="s">
        <v>364</v>
      </c>
      <c r="B252" s="193" t="s">
        <v>365</v>
      </c>
      <c r="C252" s="66">
        <f>+[4]BS17A!$D1935</f>
        <v>0</v>
      </c>
      <c r="D252" s="32">
        <f>+[4]BS17A!$U1935</f>
        <v>46120</v>
      </c>
      <c r="E252" s="195">
        <f>+[4]BS17A!$V1935</f>
        <v>0</v>
      </c>
      <c r="F252" s="8"/>
    </row>
    <row r="253" spans="1:6" ht="15" customHeight="1" x14ac:dyDescent="0.2">
      <c r="A253" s="196" t="s">
        <v>366</v>
      </c>
      <c r="B253" s="197" t="s">
        <v>367</v>
      </c>
      <c r="C253" s="31">
        <f>+[4]BS17A!$D1936</f>
        <v>0</v>
      </c>
      <c r="D253" s="40">
        <f>+[4]BS17A!$U1936</f>
        <v>34460</v>
      </c>
      <c r="E253" s="153">
        <f>+[4]BS17A!$V1936</f>
        <v>0</v>
      </c>
      <c r="F253" s="8"/>
    </row>
    <row r="254" spans="1:6" ht="15" customHeight="1" x14ac:dyDescent="0.2">
      <c r="A254" s="242" t="s">
        <v>368</v>
      </c>
      <c r="B254" s="243"/>
      <c r="C254" s="243"/>
      <c r="D254" s="243"/>
      <c r="E254" s="244"/>
      <c r="F254" s="8"/>
    </row>
    <row r="255" spans="1:6" ht="15" customHeight="1" x14ac:dyDescent="0.2">
      <c r="A255" s="17" t="s">
        <v>369</v>
      </c>
      <c r="B255" s="198" t="s">
        <v>341</v>
      </c>
      <c r="C255" s="19">
        <f>+[4]BS17A!$D1937</f>
        <v>0</v>
      </c>
      <c r="D255" s="37">
        <f>+[4]BS17A!$U1937</f>
        <v>188970</v>
      </c>
      <c r="E255" s="145">
        <f>+[4]BS17A!$V1937</f>
        <v>0</v>
      </c>
      <c r="F255" s="8"/>
    </row>
    <row r="256" spans="1:6" ht="15" customHeight="1" x14ac:dyDescent="0.2">
      <c r="A256" s="22" t="s">
        <v>370</v>
      </c>
      <c r="B256" s="34" t="s">
        <v>371</v>
      </c>
      <c r="C256" s="24">
        <f>+[4]BS17A!$D1938</f>
        <v>0</v>
      </c>
      <c r="D256" s="25">
        <f>+[4]BS17A!$U1938</f>
        <v>1124200</v>
      </c>
      <c r="E256" s="146">
        <f>+[4]BS17A!$V1938</f>
        <v>0</v>
      </c>
      <c r="F256" s="8"/>
    </row>
    <row r="257" spans="1:6" ht="15" customHeight="1" x14ac:dyDescent="0.2">
      <c r="A257" s="22" t="s">
        <v>372</v>
      </c>
      <c r="B257" s="34" t="s">
        <v>373</v>
      </c>
      <c r="C257" s="24">
        <f>+[4]BS17A!$D1939</f>
        <v>0</v>
      </c>
      <c r="D257" s="25">
        <f>+[4]BS17A!$U1939</f>
        <v>169610</v>
      </c>
      <c r="E257" s="146">
        <f>+[4]BS17A!$V1939</f>
        <v>0</v>
      </c>
      <c r="F257" s="8"/>
    </row>
    <row r="258" spans="1:6" ht="15" customHeight="1" x14ac:dyDescent="0.2">
      <c r="A258" s="22" t="s">
        <v>374</v>
      </c>
      <c r="B258" s="34" t="s">
        <v>375</v>
      </c>
      <c r="C258" s="24">
        <f>+[4]BS17A!$D1940</f>
        <v>0</v>
      </c>
      <c r="D258" s="25">
        <f>+[4]BS17A!$U1940</f>
        <v>149990</v>
      </c>
      <c r="E258" s="146">
        <f>+[4]BS17A!$V1940</f>
        <v>0</v>
      </c>
      <c r="F258" s="8"/>
    </row>
    <row r="259" spans="1:6" ht="15" customHeight="1" x14ac:dyDescent="0.2">
      <c r="A259" s="22" t="s">
        <v>376</v>
      </c>
      <c r="B259" s="34" t="s">
        <v>377</v>
      </c>
      <c r="C259" s="24">
        <f>+[4]BS17A!$D1941</f>
        <v>0</v>
      </c>
      <c r="D259" s="25">
        <f>+[4]BS17A!$U1941</f>
        <v>304480</v>
      </c>
      <c r="E259" s="146">
        <f>+[4]BS17A!$V1941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24">
        <f>+[4]BS17A!$D1942</f>
        <v>0</v>
      </c>
      <c r="D260" s="25">
        <f>+[4]BS17A!$U1942</f>
        <v>1012520</v>
      </c>
      <c r="E260" s="146">
        <f>+[4]BS17A!$V1942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24">
        <f>+[4]BS17A!$D1943</f>
        <v>0</v>
      </c>
      <c r="D261" s="25">
        <f>+[4]BS17A!$U1943</f>
        <v>1040530</v>
      </c>
      <c r="E261" s="146">
        <f>+[4]BS17A!$V1943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24">
        <f>+[4]BS17A!$D1944</f>
        <v>0</v>
      </c>
      <c r="D262" s="25">
        <f>+[4]BS17A!$U1944</f>
        <v>823870</v>
      </c>
      <c r="E262" s="146">
        <f>+[4]BS17A!$V1944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24">
        <f>+[4]BS17A!$D1945</f>
        <v>0</v>
      </c>
      <c r="D263" s="25">
        <f>+[4]BS17A!$U1945</f>
        <v>868290</v>
      </c>
      <c r="E263" s="146">
        <f>+[4]BS17A!$V1945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24">
        <f>+[4]BS17A!$D1946</f>
        <v>0</v>
      </c>
      <c r="D264" s="25">
        <f>+[4]BS17A!$U1946</f>
        <v>342530</v>
      </c>
      <c r="E264" s="146">
        <f>+[4]BS17A!$V1946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24">
        <f>+[4]BS17A!$D1947</f>
        <v>0</v>
      </c>
      <c r="D265" s="25">
        <f>+[4]BS17A!$U1947</f>
        <v>82030</v>
      </c>
      <c r="E265" s="146">
        <f>+[4]BS17A!$V1947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24">
        <f>+[4]BS17A!$D1948</f>
        <v>0</v>
      </c>
      <c r="D266" s="25">
        <f>+[4]BS17A!$U1948</f>
        <v>244730</v>
      </c>
      <c r="E266" s="146">
        <f>+[4]BS17A!$V1948</f>
        <v>0</v>
      </c>
      <c r="F266" s="8"/>
    </row>
    <row r="267" spans="1:6" ht="15" customHeight="1" x14ac:dyDescent="0.2">
      <c r="A267" s="22" t="s">
        <v>392</v>
      </c>
      <c r="B267" s="23" t="s">
        <v>393</v>
      </c>
      <c r="C267" s="24">
        <f>+[4]BS17A!$D1949</f>
        <v>0</v>
      </c>
      <c r="D267" s="25">
        <f>+[4]BS17A!$U1949</f>
        <v>69200</v>
      </c>
      <c r="E267" s="146">
        <f>+[4]BS17A!$V1949</f>
        <v>0</v>
      </c>
      <c r="F267" s="8"/>
    </row>
    <row r="268" spans="1:6" ht="15" customHeight="1" x14ac:dyDescent="0.2">
      <c r="A268" s="22" t="s">
        <v>394</v>
      </c>
      <c r="B268" s="23" t="s">
        <v>395</v>
      </c>
      <c r="C268" s="24">
        <f>+[4]BS17A!$D1950</f>
        <v>0</v>
      </c>
      <c r="D268" s="25">
        <f>+[4]BS17A!$U1950</f>
        <v>1189020</v>
      </c>
      <c r="E268" s="146">
        <f>+[4]BS17A!$V1950</f>
        <v>0</v>
      </c>
      <c r="F268" s="8"/>
    </row>
    <row r="269" spans="1:6" ht="15" customHeight="1" x14ac:dyDescent="0.2">
      <c r="A269" s="22" t="s">
        <v>396</v>
      </c>
      <c r="B269" s="23" t="s">
        <v>397</v>
      </c>
      <c r="C269" s="24">
        <f>+[4]BS17A!$D1951</f>
        <v>0</v>
      </c>
      <c r="D269" s="25">
        <f>+[4]BS17A!$U1951</f>
        <v>278030</v>
      </c>
      <c r="E269" s="146">
        <f>+[4]BS17A!$V1951</f>
        <v>0</v>
      </c>
      <c r="F269" s="8"/>
    </row>
    <row r="270" spans="1:6" ht="15" customHeight="1" x14ac:dyDescent="0.2">
      <c r="A270" s="22" t="s">
        <v>398</v>
      </c>
      <c r="B270" s="23" t="s">
        <v>399</v>
      </c>
      <c r="C270" s="24">
        <f>+[4]BS17A!$D1952</f>
        <v>0</v>
      </c>
      <c r="D270" s="25">
        <f>+[4]BS17A!$U1952</f>
        <v>931380</v>
      </c>
      <c r="E270" s="146">
        <f>+[4]BS17A!$V1952</f>
        <v>0</v>
      </c>
      <c r="F270" s="8"/>
    </row>
    <row r="271" spans="1:6" ht="15" customHeight="1" x14ac:dyDescent="0.2">
      <c r="A271" s="22" t="s">
        <v>400</v>
      </c>
      <c r="B271" s="30" t="s">
        <v>401</v>
      </c>
      <c r="C271" s="24">
        <f>+[4]BS17A!$D1953</f>
        <v>0</v>
      </c>
      <c r="D271" s="25">
        <f>+[4]BS17A!$U1953</f>
        <v>570190</v>
      </c>
      <c r="E271" s="146">
        <f>+[4]BS17A!$V1953</f>
        <v>0</v>
      </c>
      <c r="F271" s="8"/>
    </row>
    <row r="272" spans="1:6" ht="15" customHeight="1" x14ac:dyDescent="0.2">
      <c r="A272" s="29" t="s">
        <v>402</v>
      </c>
      <c r="B272" s="30" t="s">
        <v>403</v>
      </c>
      <c r="C272" s="31">
        <f>+[4]BS17A!$D1954</f>
        <v>0</v>
      </c>
      <c r="D272" s="32">
        <f>+[4]BS17A!$U1954</f>
        <v>465310</v>
      </c>
      <c r="E272" s="195">
        <f>+[4]BS17A!$V1954</f>
        <v>0</v>
      </c>
      <c r="F272" s="8"/>
    </row>
    <row r="273" spans="1:10" ht="15" customHeight="1" x14ac:dyDescent="0.2">
      <c r="A273" s="242" t="s">
        <v>404</v>
      </c>
      <c r="B273" s="243"/>
      <c r="C273" s="243"/>
      <c r="D273" s="243"/>
      <c r="E273" s="244"/>
      <c r="F273" s="8"/>
    </row>
    <row r="274" spans="1:10" ht="15" customHeight="1" x14ac:dyDescent="0.2">
      <c r="A274" s="17" t="s">
        <v>405</v>
      </c>
      <c r="B274" s="18" t="s">
        <v>406</v>
      </c>
      <c r="C274" s="70">
        <f>+[4]BS17A!$D1955</f>
        <v>0</v>
      </c>
      <c r="D274" s="20">
        <f>[4]BS17A!U1955</f>
        <v>250830</v>
      </c>
      <c r="E274" s="199">
        <f>+[4]BS17A!$V1955</f>
        <v>0</v>
      </c>
      <c r="F274" s="8"/>
    </row>
    <row r="275" spans="1:10" ht="15" customHeight="1" x14ac:dyDescent="0.2">
      <c r="A275" s="22" t="s">
        <v>407</v>
      </c>
      <c r="B275" s="23" t="s">
        <v>408</v>
      </c>
      <c r="C275" s="24">
        <f>+[4]BS17A!$D1956</f>
        <v>0</v>
      </c>
      <c r="D275" s="25">
        <f>[4]BS17A!U1956</f>
        <v>146240</v>
      </c>
      <c r="E275" s="146">
        <f>+[4]BS17A!$V1956</f>
        <v>0</v>
      </c>
      <c r="F275" s="8"/>
    </row>
    <row r="276" spans="1:10" ht="15" customHeight="1" x14ac:dyDescent="0.2">
      <c r="A276" s="22" t="s">
        <v>409</v>
      </c>
      <c r="B276" s="23" t="s">
        <v>410</v>
      </c>
      <c r="C276" s="24">
        <f>+[4]BS17A!$D1957</f>
        <v>0</v>
      </c>
      <c r="D276" s="25">
        <f>[4]BS17A!U1957</f>
        <v>353360</v>
      </c>
      <c r="E276" s="146">
        <f>+[4]BS17A!$V1957</f>
        <v>0</v>
      </c>
      <c r="F276" s="8"/>
    </row>
    <row r="277" spans="1:10" ht="15" customHeight="1" x14ac:dyDescent="0.2">
      <c r="A277" s="22" t="s">
        <v>411</v>
      </c>
      <c r="B277" s="23" t="s">
        <v>412</v>
      </c>
      <c r="C277" s="24">
        <f>+[4]BS17A!$D1958</f>
        <v>0</v>
      </c>
      <c r="D277" s="25">
        <f>[4]BS17A!U1958</f>
        <v>366190</v>
      </c>
      <c r="E277" s="146">
        <f>+[4]BS17A!$V1958</f>
        <v>0</v>
      </c>
      <c r="F277" s="8"/>
    </row>
    <row r="278" spans="1:10" ht="15" customHeight="1" x14ac:dyDescent="0.2">
      <c r="A278" s="29" t="s">
        <v>413</v>
      </c>
      <c r="B278" s="39" t="s">
        <v>414</v>
      </c>
      <c r="C278" s="31">
        <f>+[4]BS17A!$D1959</f>
        <v>0</v>
      </c>
      <c r="D278" s="40">
        <f>[4]BS17A!U1959</f>
        <v>228810</v>
      </c>
      <c r="E278" s="153">
        <f>+[4]BS17A!$V1959</f>
        <v>0</v>
      </c>
      <c r="F278" s="200"/>
    </row>
    <row r="279" spans="1:10" ht="15" customHeight="1" x14ac:dyDescent="0.2">
      <c r="A279" s="201" t="s">
        <v>415</v>
      </c>
      <c r="B279" s="202" t="s">
        <v>416</v>
      </c>
      <c r="C279" s="203">
        <f>+[4]BS17A!$D1960</f>
        <v>98</v>
      </c>
      <c r="D279" s="204">
        <f>[4]BS17A!U1960</f>
        <v>31110</v>
      </c>
      <c r="E279" s="189">
        <f>+[4]BS17A!$V1960</f>
        <v>3048780</v>
      </c>
      <c r="F279" s="200"/>
    </row>
    <row r="280" spans="1:10" ht="15" customHeight="1" x14ac:dyDescent="0.2">
      <c r="A280" s="130"/>
      <c r="B280" s="205" t="s">
        <v>417</v>
      </c>
      <c r="C280" s="44">
        <f>SUM(C240:C279)</f>
        <v>98</v>
      </c>
      <c r="D280" s="151"/>
      <c r="E280" s="152">
        <f>SUM(E240:E279)</f>
        <v>3048780</v>
      </c>
      <c r="F280" s="200"/>
    </row>
    <row r="281" spans="1:10" ht="18" customHeight="1" x14ac:dyDescent="0.2">
      <c r="A281" s="183"/>
      <c r="B281" s="8"/>
      <c r="C281" s="8"/>
      <c r="D281" s="183"/>
      <c r="E281" s="183"/>
      <c r="F281" s="8"/>
    </row>
    <row r="282" spans="1:10" ht="18" customHeight="1" x14ac:dyDescent="0.2">
      <c r="A282" s="183"/>
      <c r="B282" s="185"/>
      <c r="C282" s="185"/>
      <c r="D282" s="183"/>
      <c r="E282" s="183"/>
      <c r="F282" s="206"/>
      <c r="G282" s="207"/>
      <c r="J282" s="208"/>
    </row>
    <row r="283" spans="1:10" ht="12.75" customHeight="1" x14ac:dyDescent="0.2">
      <c r="A283" s="251" t="s">
        <v>418</v>
      </c>
      <c r="B283" s="254"/>
      <c r="C283" s="254"/>
      <c r="D283" s="254"/>
      <c r="E283" s="255"/>
      <c r="F283" s="8"/>
    </row>
    <row r="284" spans="1:10" ht="44.25" customHeight="1" x14ac:dyDescent="0.2">
      <c r="A284" s="11" t="s">
        <v>8</v>
      </c>
      <c r="B284" s="11" t="s">
        <v>418</v>
      </c>
      <c r="C284" s="12" t="s">
        <v>339</v>
      </c>
      <c r="D284" s="13" t="s">
        <v>11</v>
      </c>
      <c r="E284" s="14" t="s">
        <v>12</v>
      </c>
      <c r="F284" s="200"/>
    </row>
    <row r="285" spans="1:10" ht="15" customHeight="1" x14ac:dyDescent="0.2">
      <c r="A285" s="17" t="s">
        <v>419</v>
      </c>
      <c r="B285" s="209" t="s">
        <v>420</v>
      </c>
      <c r="C285" s="19">
        <f>+[4]BS17A!$D1962</f>
        <v>8</v>
      </c>
      <c r="D285" s="37">
        <f>+[4]BS17A!$U1962</f>
        <v>6120</v>
      </c>
      <c r="E285" s="145">
        <f>+[4]BS17A!$V1962</f>
        <v>48960</v>
      </c>
      <c r="F285" s="8"/>
    </row>
    <row r="286" spans="1:10" ht="15" customHeight="1" x14ac:dyDescent="0.2">
      <c r="A286" s="22" t="s">
        <v>421</v>
      </c>
      <c r="B286" s="210" t="s">
        <v>422</v>
      </c>
      <c r="C286" s="24">
        <f>+[4]BS17A!$D1963</f>
        <v>0</v>
      </c>
      <c r="D286" s="25">
        <f>+[4]BS17A!$U1963</f>
        <v>3260</v>
      </c>
      <c r="E286" s="146">
        <f>+[4]BS17A!$V1963</f>
        <v>0</v>
      </c>
      <c r="F286" s="8"/>
    </row>
    <row r="287" spans="1:10" ht="15" customHeight="1" x14ac:dyDescent="0.2">
      <c r="A287" s="22" t="s">
        <v>423</v>
      </c>
      <c r="B287" s="210" t="s">
        <v>424</v>
      </c>
      <c r="C287" s="24">
        <f>+[4]BS17A!$D1964</f>
        <v>2</v>
      </c>
      <c r="D287" s="25">
        <f>+[4]BS17A!$U1964</f>
        <v>12280</v>
      </c>
      <c r="E287" s="146">
        <f>+[4]BS17A!$V1964</f>
        <v>24560</v>
      </c>
      <c r="F287" s="8"/>
    </row>
    <row r="288" spans="1:10" ht="15" customHeight="1" x14ac:dyDescent="0.2">
      <c r="A288" s="22" t="s">
        <v>425</v>
      </c>
      <c r="B288" s="210" t="s">
        <v>426</v>
      </c>
      <c r="C288" s="24">
        <f>+[4]BS17A!$D1965</f>
        <v>0</v>
      </c>
      <c r="D288" s="25">
        <f>+[4]BS17A!$U1965</f>
        <v>125980</v>
      </c>
      <c r="E288" s="146">
        <f>+[4]BS17A!$V1965</f>
        <v>0</v>
      </c>
      <c r="F288" s="8"/>
    </row>
    <row r="289" spans="1:7" ht="15" customHeight="1" x14ac:dyDescent="0.2">
      <c r="A289" s="29" t="s">
        <v>427</v>
      </c>
      <c r="B289" s="211" t="s">
        <v>428</v>
      </c>
      <c r="C289" s="31">
        <f>+[4]BS17A!$D1966</f>
        <v>0</v>
      </c>
      <c r="D289" s="40">
        <f>+[4]BS17A!$U1966</f>
        <v>691940</v>
      </c>
      <c r="E289" s="153">
        <f>+[4]BS17A!$V1966</f>
        <v>0</v>
      </c>
      <c r="F289" s="8"/>
    </row>
    <row r="290" spans="1:7" ht="15" customHeight="1" x14ac:dyDescent="0.2">
      <c r="A290" s="130"/>
      <c r="B290" s="131" t="s">
        <v>429</v>
      </c>
      <c r="C290" s="56">
        <f>SUM(C285:C289)</f>
        <v>10</v>
      </c>
      <c r="D290" s="57"/>
      <c r="E290" s="107">
        <f>SUM(E285:E289)</f>
        <v>73520</v>
      </c>
      <c r="F290" s="8"/>
    </row>
    <row r="291" spans="1:7" ht="18" customHeight="1" x14ac:dyDescent="0.2">
      <c r="A291" s="183"/>
      <c r="B291" s="185"/>
      <c r="C291" s="183"/>
      <c r="D291" s="183"/>
      <c r="E291" s="183"/>
      <c r="F291" s="8"/>
    </row>
    <row r="292" spans="1:7" ht="18" customHeight="1" x14ac:dyDescent="0.2">
      <c r="A292" s="183"/>
      <c r="B292" s="185"/>
      <c r="C292" s="183"/>
      <c r="D292" s="183"/>
      <c r="E292" s="183"/>
      <c r="F292" s="212"/>
      <c r="G292" s="10"/>
    </row>
    <row r="293" spans="1:7" ht="12.75" x14ac:dyDescent="0.2">
      <c r="A293" s="242" t="s">
        <v>430</v>
      </c>
      <c r="B293" s="243"/>
      <c r="C293" s="243"/>
      <c r="D293" s="243"/>
      <c r="E293" s="244"/>
      <c r="F293" s="213"/>
      <c r="G293" s="10"/>
    </row>
    <row r="294" spans="1:7" ht="36.75" customHeight="1" x14ac:dyDescent="0.2">
      <c r="A294" s="11" t="s">
        <v>8</v>
      </c>
      <c r="B294" s="214" t="s">
        <v>430</v>
      </c>
      <c r="C294" s="215" t="s">
        <v>431</v>
      </c>
      <c r="D294" s="13" t="s">
        <v>11</v>
      </c>
      <c r="E294" s="14" t="s">
        <v>12</v>
      </c>
      <c r="F294" s="213"/>
      <c r="G294" s="10"/>
    </row>
    <row r="295" spans="1:7" ht="15" customHeight="1" x14ac:dyDescent="0.2">
      <c r="A295" s="17" t="s">
        <v>432</v>
      </c>
      <c r="B295" s="36" t="s">
        <v>433</v>
      </c>
      <c r="C295" s="19">
        <f>+[4]BS17A!$D1851</f>
        <v>284</v>
      </c>
      <c r="D295" s="37">
        <f>+[4]BS17A!$U1851</f>
        <v>16380</v>
      </c>
      <c r="E295" s="145">
        <f>+[4]BS17A!$V1851</f>
        <v>4651920</v>
      </c>
      <c r="F295" s="8"/>
    </row>
    <row r="296" spans="1:7" ht="15" customHeight="1" x14ac:dyDescent="0.2">
      <c r="A296" s="22" t="s">
        <v>434</v>
      </c>
      <c r="B296" s="28" t="s">
        <v>435</v>
      </c>
      <c r="C296" s="24">
        <f>+[4]BS17A!$D1852</f>
        <v>164</v>
      </c>
      <c r="D296" s="25">
        <f>+[4]BS17A!$U1852</f>
        <v>51500</v>
      </c>
      <c r="E296" s="146">
        <f>+[4]BS17A!$V1852</f>
        <v>8446000</v>
      </c>
      <c r="F296" s="8"/>
    </row>
    <row r="297" spans="1:7" ht="15" customHeight="1" x14ac:dyDescent="0.2">
      <c r="A297" s="22" t="s">
        <v>436</v>
      </c>
      <c r="B297" s="28" t="s">
        <v>437</v>
      </c>
      <c r="C297" s="24">
        <f>+[4]BS17A!$D1853</f>
        <v>0</v>
      </c>
      <c r="D297" s="25">
        <f>+[4]BS17A!$U1853</f>
        <v>63840</v>
      </c>
      <c r="E297" s="146">
        <f>+[4]BS17A!$V1853</f>
        <v>0</v>
      </c>
      <c r="F297" s="8"/>
    </row>
    <row r="298" spans="1:7" ht="15" customHeight="1" x14ac:dyDescent="0.2">
      <c r="A298" s="22" t="s">
        <v>438</v>
      </c>
      <c r="B298" s="28" t="s">
        <v>439</v>
      </c>
      <c r="C298" s="24">
        <f>+[4]BS17A!$D1854</f>
        <v>147</v>
      </c>
      <c r="D298" s="25">
        <f>+[4]BS17A!$U1854</f>
        <v>2250</v>
      </c>
      <c r="E298" s="146">
        <f>+[4]BS17A!$V1854</f>
        <v>330750</v>
      </c>
      <c r="F298" s="8"/>
    </row>
    <row r="299" spans="1:7" ht="15" customHeight="1" x14ac:dyDescent="0.2">
      <c r="A299" s="22" t="s">
        <v>440</v>
      </c>
      <c r="B299" s="28" t="s">
        <v>441</v>
      </c>
      <c r="C299" s="24">
        <f>+[4]BS17A!$D1855</f>
        <v>0</v>
      </c>
      <c r="D299" s="25">
        <f>+[4]BS17A!$U1855</f>
        <v>70</v>
      </c>
      <c r="E299" s="146">
        <f>+[4]BS17A!$V1855</f>
        <v>0</v>
      </c>
      <c r="F299" s="8"/>
    </row>
    <row r="300" spans="1:7" ht="15" customHeight="1" x14ac:dyDescent="0.2">
      <c r="A300" s="22" t="s">
        <v>442</v>
      </c>
      <c r="B300" s="23" t="s">
        <v>443</v>
      </c>
      <c r="C300" s="24">
        <f>+[4]BS17A!$D1856</f>
        <v>0</v>
      </c>
      <c r="D300" s="25">
        <f>+[4]BS17A!$U1856</f>
        <v>135560</v>
      </c>
      <c r="E300" s="146">
        <f>+[4]BS17A!$V1856</f>
        <v>0</v>
      </c>
      <c r="F300" s="8"/>
    </row>
    <row r="301" spans="1:7" ht="15" customHeight="1" x14ac:dyDescent="0.2">
      <c r="A301" s="29" t="s">
        <v>444</v>
      </c>
      <c r="B301" s="43" t="s">
        <v>445</v>
      </c>
      <c r="C301" s="31">
        <f>+[4]BS17A!$D1857</f>
        <v>0</v>
      </c>
      <c r="D301" s="40">
        <f>+[4]BS17A!$U1857</f>
        <v>9220</v>
      </c>
      <c r="E301" s="153">
        <f>+[4]BS17A!$V1857</f>
        <v>0</v>
      </c>
      <c r="F301" s="8"/>
    </row>
    <row r="302" spans="1:7" ht="15" customHeight="1" x14ac:dyDescent="0.2">
      <c r="A302" s="96"/>
      <c r="B302" s="246" t="s">
        <v>446</v>
      </c>
      <c r="C302" s="247"/>
      <c r="D302" s="188"/>
      <c r="E302" s="217">
        <f>SUM(E295:E301)</f>
        <v>13428670</v>
      </c>
      <c r="F302" s="8"/>
    </row>
    <row r="303" spans="1:7" ht="12.75" x14ac:dyDescent="0.2">
      <c r="A303" s="8"/>
      <c r="B303" s="8"/>
      <c r="C303" s="8"/>
      <c r="D303" s="8"/>
      <c r="E303" s="8"/>
      <c r="F303" s="175"/>
      <c r="G303" s="182"/>
    </row>
    <row r="304" spans="1:7" ht="12.75" x14ac:dyDescent="0.2">
      <c r="A304" s="8"/>
      <c r="B304" s="8"/>
      <c r="C304" s="8"/>
      <c r="D304" s="8"/>
      <c r="E304" s="8"/>
      <c r="F304" s="175"/>
      <c r="G304" s="182"/>
    </row>
    <row r="305" spans="1:7" ht="12.75" x14ac:dyDescent="0.2">
      <c r="A305" s="239" t="s">
        <v>447</v>
      </c>
      <c r="B305" s="240"/>
      <c r="C305" s="240"/>
      <c r="D305" s="240"/>
      <c r="E305" s="241"/>
      <c r="F305" s="175"/>
      <c r="G305" s="182"/>
    </row>
    <row r="306" spans="1:7" ht="12.75" x14ac:dyDescent="0.2">
      <c r="A306" s="218"/>
      <c r="B306" s="248" t="s">
        <v>448</v>
      </c>
      <c r="C306" s="249"/>
      <c r="D306" s="250"/>
      <c r="E306" s="219">
        <f>+E231+E236+E280+E290+E302</f>
        <v>25374080</v>
      </c>
      <c r="F306" s="8"/>
    </row>
    <row r="307" spans="1:7" ht="12.75" x14ac:dyDescent="0.2">
      <c r="A307" s="8"/>
      <c r="B307" s="8"/>
      <c r="C307" s="8"/>
      <c r="D307" s="8"/>
      <c r="E307" s="8"/>
      <c r="F307" s="175"/>
      <c r="G307" s="182"/>
    </row>
    <row r="308" spans="1:7" ht="12.75" x14ac:dyDescent="0.2">
      <c r="A308" s="8"/>
      <c r="B308" s="8"/>
      <c r="C308" s="8"/>
      <c r="D308" s="8"/>
      <c r="E308" s="8"/>
      <c r="F308" s="175"/>
      <c r="G308" s="182"/>
    </row>
    <row r="309" spans="1:7" ht="12.75" x14ac:dyDescent="0.2">
      <c r="A309" s="239" t="s">
        <v>449</v>
      </c>
      <c r="B309" s="240"/>
      <c r="C309" s="240"/>
      <c r="D309" s="240"/>
      <c r="E309" s="241"/>
      <c r="F309" s="175"/>
      <c r="G309" s="182"/>
    </row>
    <row r="310" spans="1:7" ht="25.5" x14ac:dyDescent="0.2">
      <c r="A310" s="242" t="s">
        <v>450</v>
      </c>
      <c r="B310" s="243"/>
      <c r="C310" s="243"/>
      <c r="D310" s="244"/>
      <c r="E310" s="11" t="s">
        <v>12</v>
      </c>
      <c r="F310" s="175"/>
      <c r="G310" s="182"/>
    </row>
    <row r="311" spans="1:7" ht="15" customHeight="1" x14ac:dyDescent="0.2">
      <c r="A311" s="218"/>
      <c r="B311" s="248" t="s">
        <v>451</v>
      </c>
      <c r="C311" s="249"/>
      <c r="D311" s="250"/>
      <c r="E311" s="219">
        <f>+E50+E76+E84+F109+E116+C121+E148+E155+E167+E203+E217+C224+E306</f>
        <v>594631555</v>
      </c>
      <c r="F311" s="175"/>
      <c r="G311" s="182"/>
    </row>
    <row r="312" spans="1:7" ht="18" customHeight="1" x14ac:dyDescent="0.2">
      <c r="A312" s="8"/>
      <c r="B312" s="8"/>
      <c r="C312" s="8"/>
      <c r="D312" s="8"/>
      <c r="E312" s="8"/>
      <c r="F312" s="5"/>
    </row>
    <row r="313" spans="1:7" ht="18" customHeight="1" x14ac:dyDescent="0.2">
      <c r="A313" s="8"/>
      <c r="B313" s="8"/>
      <c r="C313" s="8"/>
      <c r="D313" s="8"/>
      <c r="E313" s="8"/>
      <c r="F313" s="5"/>
    </row>
    <row r="314" spans="1:7" ht="18" customHeight="1" x14ac:dyDescent="0.2">
      <c r="A314" s="239" t="s">
        <v>452</v>
      </c>
      <c r="B314" s="240"/>
      <c r="C314" s="241"/>
      <c r="D314" s="8"/>
      <c r="E314" s="8"/>
      <c r="F314" s="5"/>
    </row>
    <row r="315" spans="1:7" ht="18" customHeight="1" x14ac:dyDescent="0.2">
      <c r="A315" s="242" t="s">
        <v>453</v>
      </c>
      <c r="B315" s="243"/>
      <c r="C315" s="244"/>
      <c r="D315" s="8"/>
      <c r="E315" s="8"/>
      <c r="F315" s="5"/>
    </row>
    <row r="316" spans="1:7" ht="30.75" customHeight="1" x14ac:dyDescent="0.2">
      <c r="A316" s="239" t="s">
        <v>454</v>
      </c>
      <c r="B316" s="240"/>
      <c r="C316" s="11" t="s">
        <v>455</v>
      </c>
      <c r="D316" s="8"/>
      <c r="E316" s="8"/>
      <c r="F316" s="8"/>
    </row>
    <row r="317" spans="1:7" ht="15" customHeight="1" x14ac:dyDescent="0.2">
      <c r="A317" s="220" t="s">
        <v>456</v>
      </c>
      <c r="B317" s="191"/>
      <c r="C317" s="221"/>
      <c r="D317" s="8"/>
      <c r="E317" s="8"/>
      <c r="F317" s="8"/>
    </row>
    <row r="318" spans="1:7" ht="15" customHeight="1" x14ac:dyDescent="0.2">
      <c r="A318" s="24" t="s">
        <v>457</v>
      </c>
      <c r="B318" s="193"/>
      <c r="C318" s="222"/>
      <c r="D318" s="8"/>
      <c r="E318" s="8"/>
      <c r="F318" s="8"/>
    </row>
    <row r="319" spans="1:7" ht="15" customHeight="1" x14ac:dyDescent="0.2">
      <c r="A319" s="24" t="s">
        <v>458</v>
      </c>
      <c r="B319" s="193"/>
      <c r="C319" s="222"/>
      <c r="D319" s="8"/>
      <c r="E319" s="8"/>
      <c r="F319" s="8"/>
    </row>
    <row r="320" spans="1:7" ht="15" customHeight="1" x14ac:dyDescent="0.2">
      <c r="A320" s="223" t="s">
        <v>459</v>
      </c>
      <c r="B320" s="193"/>
      <c r="C320" s="222"/>
      <c r="D320" s="8"/>
      <c r="E320" s="8"/>
      <c r="F320" s="8"/>
    </row>
    <row r="321" spans="1:6" ht="15" customHeight="1" x14ac:dyDescent="0.2">
      <c r="A321" s="224" t="s">
        <v>460</v>
      </c>
      <c r="B321" s="225"/>
      <c r="C321" s="226">
        <f>SUM(C317:C320)</f>
        <v>0</v>
      </c>
      <c r="D321" s="8"/>
      <c r="E321" s="8"/>
      <c r="F321" s="8"/>
    </row>
    <row r="322" spans="1:6" ht="15" customHeight="1" x14ac:dyDescent="0.2">
      <c r="A322" s="19" t="s">
        <v>461</v>
      </c>
      <c r="B322" s="227"/>
      <c r="C322" s="221">
        <v>53977549</v>
      </c>
      <c r="D322" s="8"/>
      <c r="E322" s="8"/>
      <c r="F322" s="8"/>
    </row>
    <row r="323" spans="1:6" ht="15" customHeight="1" x14ac:dyDescent="0.2">
      <c r="A323" s="228" t="s">
        <v>462</v>
      </c>
      <c r="B323" s="229"/>
      <c r="C323" s="222"/>
      <c r="D323" s="8"/>
      <c r="E323" s="8"/>
      <c r="F323" s="8"/>
    </row>
    <row r="324" spans="1:6" ht="15" customHeight="1" x14ac:dyDescent="0.2">
      <c r="A324" s="24" t="s">
        <v>463</v>
      </c>
      <c r="B324" s="229"/>
      <c r="C324" s="222"/>
      <c r="D324" s="8"/>
      <c r="E324" s="8"/>
      <c r="F324" s="8"/>
    </row>
    <row r="325" spans="1:6" ht="15" customHeight="1" x14ac:dyDescent="0.2">
      <c r="A325" s="24" t="s">
        <v>464</v>
      </c>
      <c r="B325" s="229"/>
      <c r="C325" s="222"/>
      <c r="D325" s="8"/>
      <c r="E325" s="8"/>
      <c r="F325" s="8"/>
    </row>
    <row r="326" spans="1:6" ht="15" customHeight="1" x14ac:dyDescent="0.2">
      <c r="A326" s="228" t="s">
        <v>465</v>
      </c>
      <c r="B326" s="229"/>
      <c r="C326" s="222"/>
      <c r="D326" s="8"/>
      <c r="E326" s="8"/>
      <c r="F326" s="8"/>
    </row>
    <row r="327" spans="1:6" ht="15" customHeight="1" x14ac:dyDescent="0.2">
      <c r="A327" s="228" t="s">
        <v>466</v>
      </c>
      <c r="B327" s="229"/>
      <c r="C327" s="222"/>
      <c r="D327" s="8"/>
      <c r="E327" s="8"/>
      <c r="F327" s="8"/>
    </row>
    <row r="328" spans="1:6" ht="15" customHeight="1" x14ac:dyDescent="0.2">
      <c r="A328" s="230" t="s">
        <v>467</v>
      </c>
      <c r="B328" s="231"/>
      <c r="C328" s="232">
        <v>37928313</v>
      </c>
      <c r="D328" s="8"/>
      <c r="E328" s="8"/>
      <c r="F328" s="8"/>
    </row>
    <row r="329" spans="1:6" ht="15" customHeight="1" x14ac:dyDescent="0.2">
      <c r="A329" s="44"/>
      <c r="B329" s="233" t="s">
        <v>468</v>
      </c>
      <c r="C329" s="163">
        <f>SUM(C321:C328)</f>
        <v>91905862</v>
      </c>
      <c r="D329" s="8"/>
      <c r="E329" s="8"/>
      <c r="F329" s="8"/>
    </row>
    <row r="330" spans="1:6" ht="12.75" x14ac:dyDescent="0.2">
      <c r="A330" s="8"/>
      <c r="B330" s="8"/>
      <c r="C330" s="8"/>
      <c r="D330" s="8"/>
      <c r="E330" s="8"/>
      <c r="F330" s="5"/>
    </row>
    <row r="331" spans="1:6" ht="12.75" x14ac:dyDescent="0.2">
      <c r="A331" s="8"/>
      <c r="B331" s="8"/>
      <c r="C331" s="8"/>
      <c r="D331" s="8"/>
      <c r="E331" s="8"/>
      <c r="F331" s="5"/>
    </row>
    <row r="332" spans="1:6" ht="12.75" x14ac:dyDescent="0.2">
      <c r="A332" s="8"/>
      <c r="B332" s="8"/>
      <c r="C332" s="8"/>
      <c r="D332" s="8"/>
      <c r="E332" s="8"/>
      <c r="F332" s="5"/>
    </row>
    <row r="333" spans="1:6" ht="12.75" x14ac:dyDescent="0.2">
      <c r="A333" s="183"/>
      <c r="B333" s="183"/>
      <c r="C333" s="183"/>
      <c r="D333" s="183"/>
      <c r="E333" s="183"/>
      <c r="F333" s="212"/>
    </row>
    <row r="334" spans="1:6" ht="12.75" x14ac:dyDescent="0.2">
      <c r="A334" s="183"/>
      <c r="B334" s="183"/>
      <c r="C334" s="183"/>
      <c r="D334" s="183"/>
      <c r="E334" s="245" t="str">
        <f>[4]NOMBRE!B12</f>
        <v xml:space="preserve">SRA. MARIA INES NUÑEZ GONZALEZ </v>
      </c>
      <c r="F334" s="245"/>
    </row>
    <row r="335" spans="1:6" ht="12.75" x14ac:dyDescent="0.2">
      <c r="A335" s="183"/>
      <c r="B335" s="183"/>
      <c r="C335" s="183"/>
      <c r="D335" s="185"/>
      <c r="E335" s="238" t="str">
        <f>[4]NOMBRE!A12</f>
        <v>Jefe de Estadisticas</v>
      </c>
      <c r="F335" s="238"/>
    </row>
    <row r="336" spans="1:6" ht="12.75" x14ac:dyDescent="0.2">
      <c r="A336" s="183"/>
      <c r="B336" s="183"/>
      <c r="C336" s="183"/>
      <c r="D336" s="183"/>
      <c r="E336" s="234"/>
      <c r="F336" s="235"/>
    </row>
    <row r="337" spans="1:6" ht="12.75" x14ac:dyDescent="0.2">
      <c r="A337" s="183"/>
      <c r="B337" s="183"/>
      <c r="C337" s="183"/>
      <c r="D337" s="183"/>
      <c r="E337" s="235"/>
      <c r="F337" s="235"/>
    </row>
    <row r="338" spans="1:6" ht="12.75" x14ac:dyDescent="0.2">
      <c r="A338" s="183"/>
      <c r="B338" s="183"/>
      <c r="C338" s="183"/>
      <c r="D338" s="183"/>
      <c r="E338" s="235"/>
      <c r="F338" s="235"/>
    </row>
    <row r="339" spans="1:6" ht="12.75" x14ac:dyDescent="0.2">
      <c r="A339" s="183"/>
      <c r="B339" s="183"/>
      <c r="C339" s="183"/>
      <c r="D339" s="183"/>
      <c r="E339" s="235"/>
      <c r="F339" s="235"/>
    </row>
    <row r="340" spans="1:6" ht="12.75" x14ac:dyDescent="0.2">
      <c r="A340" s="183"/>
      <c r="B340" s="183"/>
      <c r="C340" s="183"/>
      <c r="D340" s="183"/>
      <c r="E340" s="235"/>
      <c r="F340" s="235"/>
    </row>
    <row r="341" spans="1:6" ht="12.75" x14ac:dyDescent="0.2">
      <c r="A341" s="183"/>
      <c r="B341" s="183"/>
      <c r="C341" s="183"/>
      <c r="D341" s="183"/>
      <c r="E341" s="235"/>
      <c r="F341" s="235"/>
    </row>
    <row r="342" spans="1:6" ht="12.75" x14ac:dyDescent="0.2">
      <c r="A342" s="183"/>
      <c r="B342" s="183"/>
      <c r="C342" s="183"/>
      <c r="D342" s="183"/>
      <c r="E342" s="235"/>
      <c r="F342" s="235"/>
    </row>
    <row r="343" spans="1:6" ht="12.75" x14ac:dyDescent="0.2">
      <c r="A343" s="183"/>
      <c r="B343" s="183"/>
      <c r="C343" s="183"/>
      <c r="D343" s="183"/>
      <c r="E343" s="245" t="str">
        <f>[4]NOMBRE!B11</f>
        <v xml:space="preserve">DR. RUBEN BRAVO CASTILLO </v>
      </c>
      <c r="F343" s="245"/>
    </row>
    <row r="344" spans="1:6" ht="22.5" customHeight="1" x14ac:dyDescent="0.2">
      <c r="A344" s="183"/>
      <c r="B344" s="183"/>
      <c r="C344" s="183"/>
      <c r="D344" s="212"/>
      <c r="E344" s="238" t="str">
        <f>CONCATENATE("Director ",[4]NOMBRE!B1)</f>
        <v xml:space="preserve">Director </v>
      </c>
      <c r="F344" s="238"/>
    </row>
    <row r="345" spans="1:6" ht="12.75" x14ac:dyDescent="0.2">
      <c r="A345" s="183"/>
      <c r="B345" s="183"/>
      <c r="C345" s="183"/>
      <c r="D345" s="236"/>
      <c r="E345" s="183"/>
      <c r="F345" s="212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27:E227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0:E170"/>
    <mergeCell ref="A206:E206"/>
    <mergeCell ref="A220:C220"/>
    <mergeCell ref="B311:D311"/>
    <mergeCell ref="A234:E234"/>
    <mergeCell ref="A238:E238"/>
    <mergeCell ref="A254:E254"/>
    <mergeCell ref="A273:E273"/>
    <mergeCell ref="A283:E283"/>
    <mergeCell ref="A293:E293"/>
    <mergeCell ref="B302:C302"/>
    <mergeCell ref="A305:E305"/>
    <mergeCell ref="B306:D306"/>
    <mergeCell ref="A309:E309"/>
    <mergeCell ref="A310:D310"/>
    <mergeCell ref="E344:F344"/>
    <mergeCell ref="A314:C314"/>
    <mergeCell ref="A315:C315"/>
    <mergeCell ref="A316:B316"/>
    <mergeCell ref="E334:F334"/>
    <mergeCell ref="E335:F335"/>
    <mergeCell ref="E343:F3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workbookViewId="0">
      <selection activeCell="B16" sqref="B16"/>
    </sheetView>
  </sheetViews>
  <sheetFormatPr baseColWidth="10" defaultRowHeight="10.5" x14ac:dyDescent="0.15"/>
  <cols>
    <col min="1" max="1" width="15" style="4" customWidth="1"/>
    <col min="2" max="2" width="74" style="4" customWidth="1"/>
    <col min="3" max="5" width="21.42578125" style="4" customWidth="1"/>
    <col min="6" max="6" width="19.5703125" style="237" customWidth="1"/>
    <col min="7" max="7" width="2.42578125" style="4" customWidth="1"/>
    <col min="8" max="9" width="5.140625" style="4" customWidth="1"/>
    <col min="10" max="256" width="11.42578125" style="4"/>
    <col min="257" max="257" width="15" style="4" customWidth="1"/>
    <col min="258" max="258" width="74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15" style="4" customWidth="1"/>
    <col min="514" max="514" width="74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15" style="4" customWidth="1"/>
    <col min="770" max="770" width="74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15" style="4" customWidth="1"/>
    <col min="1026" max="1026" width="74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15" style="4" customWidth="1"/>
    <col min="1282" max="1282" width="74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15" style="4" customWidth="1"/>
    <col min="1538" max="1538" width="74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15" style="4" customWidth="1"/>
    <col min="1794" max="1794" width="74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15" style="4" customWidth="1"/>
    <col min="2050" max="2050" width="74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15" style="4" customWidth="1"/>
    <col min="2306" max="2306" width="74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15" style="4" customWidth="1"/>
    <col min="2562" max="2562" width="74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15" style="4" customWidth="1"/>
    <col min="2818" max="2818" width="74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15" style="4" customWidth="1"/>
    <col min="3074" max="3074" width="74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15" style="4" customWidth="1"/>
    <col min="3330" max="3330" width="74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15" style="4" customWidth="1"/>
    <col min="3586" max="3586" width="74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15" style="4" customWidth="1"/>
    <col min="3842" max="3842" width="74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15" style="4" customWidth="1"/>
    <col min="4098" max="4098" width="74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15" style="4" customWidth="1"/>
    <col min="4354" max="4354" width="74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15" style="4" customWidth="1"/>
    <col min="4610" max="4610" width="74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15" style="4" customWidth="1"/>
    <col min="4866" max="4866" width="74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15" style="4" customWidth="1"/>
    <col min="5122" max="5122" width="74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15" style="4" customWidth="1"/>
    <col min="5378" max="5378" width="74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15" style="4" customWidth="1"/>
    <col min="5634" max="5634" width="74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15" style="4" customWidth="1"/>
    <col min="5890" max="5890" width="74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15" style="4" customWidth="1"/>
    <col min="6146" max="6146" width="74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15" style="4" customWidth="1"/>
    <col min="6402" max="6402" width="74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15" style="4" customWidth="1"/>
    <col min="6658" max="6658" width="74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15" style="4" customWidth="1"/>
    <col min="6914" max="6914" width="74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15" style="4" customWidth="1"/>
    <col min="7170" max="7170" width="74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15" style="4" customWidth="1"/>
    <col min="7426" max="7426" width="74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15" style="4" customWidth="1"/>
    <col min="7682" max="7682" width="74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15" style="4" customWidth="1"/>
    <col min="7938" max="7938" width="74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15" style="4" customWidth="1"/>
    <col min="8194" max="8194" width="74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15" style="4" customWidth="1"/>
    <col min="8450" max="8450" width="74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15" style="4" customWidth="1"/>
    <col min="8706" max="8706" width="74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15" style="4" customWidth="1"/>
    <col min="8962" max="8962" width="74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15" style="4" customWidth="1"/>
    <col min="9218" max="9218" width="74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15" style="4" customWidth="1"/>
    <col min="9474" max="9474" width="74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15" style="4" customWidth="1"/>
    <col min="9730" max="9730" width="74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15" style="4" customWidth="1"/>
    <col min="9986" max="9986" width="74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15" style="4" customWidth="1"/>
    <col min="10242" max="10242" width="74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15" style="4" customWidth="1"/>
    <col min="10498" max="10498" width="74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15" style="4" customWidth="1"/>
    <col min="10754" max="10754" width="74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15" style="4" customWidth="1"/>
    <col min="11010" max="11010" width="74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15" style="4" customWidth="1"/>
    <col min="11266" max="11266" width="74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15" style="4" customWidth="1"/>
    <col min="11522" max="11522" width="74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15" style="4" customWidth="1"/>
    <col min="11778" max="11778" width="74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15" style="4" customWidth="1"/>
    <col min="12034" max="12034" width="74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15" style="4" customWidth="1"/>
    <col min="12290" max="12290" width="74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15" style="4" customWidth="1"/>
    <col min="12546" max="12546" width="74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15" style="4" customWidth="1"/>
    <col min="12802" max="12802" width="74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15" style="4" customWidth="1"/>
    <col min="13058" max="13058" width="74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15" style="4" customWidth="1"/>
    <col min="13314" max="13314" width="74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15" style="4" customWidth="1"/>
    <col min="13570" max="13570" width="74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15" style="4" customWidth="1"/>
    <col min="13826" max="13826" width="74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15" style="4" customWidth="1"/>
    <col min="14082" max="14082" width="74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15" style="4" customWidth="1"/>
    <col min="14338" max="14338" width="74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15" style="4" customWidth="1"/>
    <col min="14594" max="14594" width="74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15" style="4" customWidth="1"/>
    <col min="14850" max="14850" width="74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15" style="4" customWidth="1"/>
    <col min="15106" max="15106" width="74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15" style="4" customWidth="1"/>
    <col min="15362" max="15362" width="74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15" style="4" customWidth="1"/>
    <col min="15618" max="15618" width="74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15" style="4" customWidth="1"/>
    <col min="15874" max="15874" width="74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15" style="4" customWidth="1"/>
    <col min="16130" max="16130" width="74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271" t="s">
        <v>1</v>
      </c>
      <c r="D1" s="272"/>
      <c r="E1" s="273"/>
      <c r="F1" s="3"/>
    </row>
    <row r="2" spans="1:7" ht="12.75" x14ac:dyDescent="0.2">
      <c r="A2" s="1" t="str">
        <f>CONCATENATE("COMUNA: ",[5]NOMBRE!B2," - ","( ",[5]NOMBRE!C2,[5]NOMBRE!D2,[5]NOMBRE!E2,[5]NOMBRE!F2,[5]NOMBRE!G2," )")</f>
        <v>COMUNA: Linares  - ( 07401 )</v>
      </c>
      <c r="B2" s="2"/>
      <c r="C2" s="268"/>
      <c r="D2" s="269"/>
      <c r="E2" s="270"/>
      <c r="F2" s="5"/>
      <c r="G2" s="6"/>
    </row>
    <row r="3" spans="1:7" ht="12.75" x14ac:dyDescent="0.2">
      <c r="A3" s="1" t="str">
        <f>CONCATENATE("ESTABLECIMIENTO: ",[5]NOMBRE!B3," - ","( ",[5]NOMBRE!C3,[5]NOMBRE!D3,[5]NOMBRE!E3,[5]NOMBRE!F3,[5]NOMBRE!G3," )")</f>
        <v>ESTABLECIMIENTO: Hospital de Linares  - ( 16108 )</v>
      </c>
      <c r="B3" s="2"/>
      <c r="C3" s="271" t="s">
        <v>2</v>
      </c>
      <c r="D3" s="272"/>
      <c r="E3" s="273"/>
      <c r="F3" s="5"/>
      <c r="G3" s="7"/>
    </row>
    <row r="4" spans="1:7" ht="12.75" x14ac:dyDescent="0.2">
      <c r="A4" s="1" t="str">
        <f>CONCATENATE("MES: ",[5]NOMBRE!B6," - ","( ",[5]NOMBRE!C6,[5]NOMBRE!D6," )")</f>
        <v>MES: MAYO - ( 05 )</v>
      </c>
      <c r="B4" s="2"/>
      <c r="C4" s="268" t="str">
        <f>CONCATENATE([5]NOMBRE!B6," ","( ",[5]NOMBRE!C6,[5]NOMBRE!D6," )")</f>
        <v>MAYO ( 05 )</v>
      </c>
      <c r="D4" s="269"/>
      <c r="E4" s="270"/>
      <c r="F4" s="5"/>
      <c r="G4" s="7"/>
    </row>
    <row r="5" spans="1:7" ht="12.75" x14ac:dyDescent="0.2">
      <c r="A5" s="1" t="str">
        <f>CONCATENATE("AÑO: ",[5]NOMBRE!B7)</f>
        <v>AÑO: 2011</v>
      </c>
      <c r="B5" s="2"/>
      <c r="C5" s="271" t="s">
        <v>3</v>
      </c>
      <c r="D5" s="272"/>
      <c r="E5" s="273"/>
      <c r="F5" s="5"/>
      <c r="G5" s="7"/>
    </row>
    <row r="6" spans="1:7" ht="12.75" x14ac:dyDescent="0.2">
      <c r="A6" s="8"/>
      <c r="B6" s="8"/>
      <c r="C6" s="268">
        <f>[5]NOMBRE!B7</f>
        <v>2011</v>
      </c>
      <c r="D6" s="269"/>
      <c r="E6" s="270"/>
      <c r="F6" s="5"/>
      <c r="G6" s="7"/>
    </row>
    <row r="7" spans="1:7" ht="12.75" x14ac:dyDescent="0.2">
      <c r="A7" s="263" t="s">
        <v>4</v>
      </c>
      <c r="B7" s="264"/>
      <c r="C7" s="265" t="s">
        <v>5</v>
      </c>
      <c r="D7" s="266"/>
      <c r="E7" s="267"/>
      <c r="F7" s="5"/>
      <c r="G7" s="7"/>
    </row>
    <row r="8" spans="1:7" ht="12.75" x14ac:dyDescent="0.2">
      <c r="A8" s="8"/>
      <c r="B8" s="9" t="s">
        <v>6</v>
      </c>
      <c r="C8" s="268" t="str">
        <f>CONCATENATE([5]NOMBRE!B3," ","( ",[5]NOMBRE!C3,[5]NOMBRE!D3,[5]NOMBRE!E3,[5]NOMBRE!F3,[5]NOMBRE!G3," )")</f>
        <v>Hospital de Linares  ( 16108 )</v>
      </c>
      <c r="D8" s="269"/>
      <c r="E8" s="270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256" t="s">
        <v>7</v>
      </c>
      <c r="B11" s="252"/>
      <c r="C11" s="252"/>
      <c r="D11" s="252"/>
      <c r="E11" s="253"/>
      <c r="F11" s="5"/>
    </row>
    <row r="12" spans="1:7" ht="43.5" customHeight="1" x14ac:dyDescent="0.2">
      <c r="A12" s="11" t="s">
        <v>8</v>
      </c>
      <c r="B12" s="11" t="s">
        <v>9</v>
      </c>
      <c r="C12" s="12" t="s">
        <v>10</v>
      </c>
      <c r="D12" s="13" t="s">
        <v>11</v>
      </c>
      <c r="E12" s="14" t="s">
        <v>12</v>
      </c>
      <c r="F12" s="8"/>
    </row>
    <row r="13" spans="1:7" ht="12.75" customHeight="1" x14ac:dyDescent="0.2">
      <c r="A13" s="242" t="s">
        <v>13</v>
      </c>
      <c r="B13" s="243"/>
      <c r="C13" s="243"/>
      <c r="D13" s="243"/>
      <c r="E13" s="244"/>
      <c r="F13" s="8"/>
    </row>
    <row r="14" spans="1:7" ht="15" customHeight="1" x14ac:dyDescent="0.2">
      <c r="A14" s="17" t="s">
        <v>14</v>
      </c>
      <c r="B14" s="18" t="s">
        <v>15</v>
      </c>
      <c r="C14" s="19">
        <f>[5]BS17A!$D13</f>
        <v>0</v>
      </c>
      <c r="D14" s="20">
        <f>[5]BS17A!$U13</f>
        <v>3830</v>
      </c>
      <c r="E14" s="21">
        <f>[5]BS17A!$V13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24">
        <f>[5]BS17A!$D14</f>
        <v>0</v>
      </c>
      <c r="D15" s="25">
        <f>[5]BS17A!$U14</f>
        <v>4820</v>
      </c>
      <c r="E15" s="26">
        <f>[5]BS17A!$V14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24">
        <f>[5]BS17A!$D15</f>
        <v>9307</v>
      </c>
      <c r="D16" s="25">
        <f>[5]BS17A!$U15</f>
        <v>10320</v>
      </c>
      <c r="E16" s="26">
        <f>[5]BS17A!$V15</f>
        <v>96048240</v>
      </c>
      <c r="F16" s="8"/>
    </row>
    <row r="17" spans="1:6" ht="15" customHeight="1" x14ac:dyDescent="0.2">
      <c r="A17" s="22" t="s">
        <v>20</v>
      </c>
      <c r="B17" s="23" t="s">
        <v>21</v>
      </c>
      <c r="C17" s="24">
        <f>[5]BS17A!$D16</f>
        <v>0</v>
      </c>
      <c r="D17" s="25">
        <f>[5]BS17A!$U16</f>
        <v>6170</v>
      </c>
      <c r="E17" s="26">
        <f>[5]BS17A!$V16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24">
        <f>[5]BS17A!$D17</f>
        <v>0</v>
      </c>
      <c r="D18" s="25">
        <f>[5]BS17A!$U17</f>
        <v>6770</v>
      </c>
      <c r="E18" s="26">
        <f>[5]BS17A!$V17</f>
        <v>0</v>
      </c>
      <c r="F18" s="8"/>
    </row>
    <row r="19" spans="1:6" ht="33" customHeight="1" x14ac:dyDescent="0.2">
      <c r="A19" s="22" t="s">
        <v>24</v>
      </c>
      <c r="B19" s="27" t="s">
        <v>25</v>
      </c>
      <c r="C19" s="24">
        <f>[5]BS17A!$D20</f>
        <v>0</v>
      </c>
      <c r="D19" s="25">
        <f>[5]BS17A!$U20</f>
        <v>5210</v>
      </c>
      <c r="E19" s="26">
        <f>[5]BS17A!$V20</f>
        <v>0</v>
      </c>
      <c r="F19" s="8"/>
    </row>
    <row r="20" spans="1:6" ht="42.75" customHeight="1" x14ac:dyDescent="0.2">
      <c r="A20" s="22" t="s">
        <v>26</v>
      </c>
      <c r="B20" s="27" t="s">
        <v>27</v>
      </c>
      <c r="C20" s="24">
        <f>[5]BS17A!$D21</f>
        <v>0</v>
      </c>
      <c r="D20" s="25">
        <f>[5]BS17A!$U21</f>
        <v>6250</v>
      </c>
      <c r="E20" s="26">
        <f>[5]BS17A!$V21</f>
        <v>0</v>
      </c>
      <c r="F20" s="8"/>
    </row>
    <row r="21" spans="1:6" ht="42.75" customHeight="1" x14ac:dyDescent="0.2">
      <c r="A21" s="22" t="s">
        <v>28</v>
      </c>
      <c r="B21" s="27" t="s">
        <v>29</v>
      </c>
      <c r="C21" s="24">
        <f>[5]BS17A!$D22</f>
        <v>0</v>
      </c>
      <c r="D21" s="25">
        <f>[5]BS17A!$U22</f>
        <v>7760</v>
      </c>
      <c r="E21" s="26">
        <f>[5]BS17A!$V22</f>
        <v>0</v>
      </c>
      <c r="F21" s="8"/>
    </row>
    <row r="22" spans="1:6" ht="32.25" customHeight="1" x14ac:dyDescent="0.2">
      <c r="A22" s="22" t="s">
        <v>30</v>
      </c>
      <c r="B22" s="27" t="s">
        <v>31</v>
      </c>
      <c r="C22" s="24">
        <f>[5]BS17A!$D23</f>
        <v>1714</v>
      </c>
      <c r="D22" s="25">
        <f>[5]BS17A!$U23</f>
        <v>5210</v>
      </c>
      <c r="E22" s="26">
        <f>[5]BS17A!$V23</f>
        <v>8929940</v>
      </c>
      <c r="F22" s="8"/>
    </row>
    <row r="23" spans="1:6" ht="40.5" customHeight="1" x14ac:dyDescent="0.2">
      <c r="A23" s="22" t="s">
        <v>32</v>
      </c>
      <c r="B23" s="27" t="s">
        <v>33</v>
      </c>
      <c r="C23" s="24">
        <f>[5]BS17A!$D24</f>
        <v>954</v>
      </c>
      <c r="D23" s="25">
        <f>[5]BS17A!$U24</f>
        <v>6250</v>
      </c>
      <c r="E23" s="26">
        <f>[5]BS17A!$V24</f>
        <v>5962500</v>
      </c>
      <c r="F23" s="8"/>
    </row>
    <row r="24" spans="1:6" ht="27" customHeight="1" x14ac:dyDescent="0.2">
      <c r="A24" s="22" t="s">
        <v>34</v>
      </c>
      <c r="B24" s="27" t="s">
        <v>35</v>
      </c>
      <c r="C24" s="24">
        <f>[5]BS17A!$D25</f>
        <v>2111</v>
      </c>
      <c r="D24" s="25">
        <f>[5]BS17A!$U25</f>
        <v>7760</v>
      </c>
      <c r="E24" s="26">
        <f>[5]BS17A!$V25</f>
        <v>16381360</v>
      </c>
      <c r="F24" s="8"/>
    </row>
    <row r="25" spans="1:6" ht="15" customHeight="1" x14ac:dyDescent="0.2">
      <c r="A25" s="22" t="s">
        <v>36</v>
      </c>
      <c r="B25" s="28" t="s">
        <v>37</v>
      </c>
      <c r="C25" s="24">
        <f>+[5]BS17A!$D791</f>
        <v>159</v>
      </c>
      <c r="D25" s="25">
        <f>+[5]BS17A!$U791</f>
        <v>6330</v>
      </c>
      <c r="E25" s="26">
        <f>+[5]BS17A!$V791</f>
        <v>1006470</v>
      </c>
      <c r="F25" s="8"/>
    </row>
    <row r="26" spans="1:6" ht="15" customHeight="1" x14ac:dyDescent="0.2">
      <c r="A26" s="29" t="s">
        <v>38</v>
      </c>
      <c r="B26" s="30" t="s">
        <v>39</v>
      </c>
      <c r="C26" s="31">
        <f>+[5]BS17A!$D796</f>
        <v>0</v>
      </c>
      <c r="D26" s="32">
        <f>+[5]BS17A!$U796</f>
        <v>26240</v>
      </c>
      <c r="E26" s="33">
        <f>+[5]BS17A!$V796</f>
        <v>0</v>
      </c>
      <c r="F26" s="8"/>
    </row>
    <row r="27" spans="1:6" ht="18" customHeight="1" x14ac:dyDescent="0.2">
      <c r="A27" s="242" t="s">
        <v>40</v>
      </c>
      <c r="B27" s="243"/>
      <c r="C27" s="243"/>
      <c r="D27" s="243"/>
      <c r="E27" s="244"/>
      <c r="F27" s="8"/>
    </row>
    <row r="28" spans="1:6" ht="15" customHeight="1" x14ac:dyDescent="0.2">
      <c r="A28" s="17" t="s">
        <v>41</v>
      </c>
      <c r="B28" s="18" t="s">
        <v>42</v>
      </c>
      <c r="C28" s="19">
        <f>[5]BS17A!$D27</f>
        <v>1652</v>
      </c>
      <c r="D28" s="20">
        <f>[5]BS17A!$U27</f>
        <v>1020</v>
      </c>
      <c r="E28" s="21">
        <f>[5]BS17A!$V27</f>
        <v>1685040</v>
      </c>
      <c r="F28" s="8"/>
    </row>
    <row r="29" spans="1:6" ht="15" customHeight="1" x14ac:dyDescent="0.2">
      <c r="A29" s="22" t="s">
        <v>43</v>
      </c>
      <c r="B29" s="34" t="s">
        <v>44</v>
      </c>
      <c r="C29" s="24">
        <f>[5]BS17A!$D28</f>
        <v>0</v>
      </c>
      <c r="D29" s="25">
        <f>[5]BS17A!$U28</f>
        <v>1740</v>
      </c>
      <c r="E29" s="26">
        <f>[5]BS17A!$V28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24">
        <f>[5]BS17A!$D29</f>
        <v>0</v>
      </c>
      <c r="D30" s="25">
        <f>[5]BS17A!$U29</f>
        <v>550</v>
      </c>
      <c r="E30" s="26">
        <f>[5]BS17A!$V29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24">
        <f>[5]BS17A!$D30</f>
        <v>24</v>
      </c>
      <c r="D31" s="25">
        <f>[5]BS17A!$U30</f>
        <v>1380</v>
      </c>
      <c r="E31" s="26">
        <f>[5]BS17A!$V30</f>
        <v>33120</v>
      </c>
      <c r="F31" s="8"/>
    </row>
    <row r="32" spans="1:6" ht="15" customHeight="1" x14ac:dyDescent="0.2">
      <c r="A32" s="22" t="s">
        <v>49</v>
      </c>
      <c r="B32" s="23" t="s">
        <v>50</v>
      </c>
      <c r="C32" s="24">
        <f>[5]BS17A!$D31</f>
        <v>1161</v>
      </c>
      <c r="D32" s="25">
        <f>[5]BS17A!$U31</f>
        <v>1110</v>
      </c>
      <c r="E32" s="26">
        <f>[5]BS17A!$V31</f>
        <v>1288710</v>
      </c>
      <c r="F32" s="8"/>
    </row>
    <row r="33" spans="1:6" ht="15" customHeight="1" x14ac:dyDescent="0.2">
      <c r="A33" s="22" t="s">
        <v>51</v>
      </c>
      <c r="B33" s="34" t="s">
        <v>52</v>
      </c>
      <c r="C33" s="24">
        <f>[5]BS17A!$D32</f>
        <v>0</v>
      </c>
      <c r="D33" s="25">
        <f>[5]BS17A!$U32</f>
        <v>1020</v>
      </c>
      <c r="E33" s="26">
        <f>[5]BS17A!$V32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24">
        <f>+[5]BS17A!$D792</f>
        <v>0</v>
      </c>
      <c r="D34" s="25">
        <f>+[5]BS17A!$U792</f>
        <v>2480</v>
      </c>
      <c r="E34" s="26">
        <f>+[5]BS17A!$V792</f>
        <v>0</v>
      </c>
      <c r="F34" s="8"/>
    </row>
    <row r="35" spans="1:6" ht="15" customHeight="1" x14ac:dyDescent="0.2">
      <c r="A35" s="22" t="s">
        <v>55</v>
      </c>
      <c r="B35" s="34" t="s">
        <v>56</v>
      </c>
      <c r="C35" s="24">
        <f>+[5]BS17A!$D793</f>
        <v>660</v>
      </c>
      <c r="D35" s="25">
        <f>+[5]BS17A!$U793</f>
        <v>2480</v>
      </c>
      <c r="E35" s="26">
        <f>+[5]BS17A!$V793</f>
        <v>1636800</v>
      </c>
      <c r="F35" s="8"/>
    </row>
    <row r="36" spans="1:6" ht="15" customHeight="1" x14ac:dyDescent="0.2">
      <c r="A36" s="22" t="s">
        <v>57</v>
      </c>
      <c r="B36" s="34" t="s">
        <v>58</v>
      </c>
      <c r="C36" s="24">
        <f>+[5]BS17A!$D794</f>
        <v>0</v>
      </c>
      <c r="D36" s="25">
        <f>+[5]BS17A!$U794</f>
        <v>9880</v>
      </c>
      <c r="E36" s="26">
        <f>+[5]BS17A!$V794</f>
        <v>0</v>
      </c>
      <c r="F36" s="8"/>
    </row>
    <row r="37" spans="1:6" ht="15" customHeight="1" x14ac:dyDescent="0.2">
      <c r="A37" s="29" t="s">
        <v>59</v>
      </c>
      <c r="B37" s="35" t="s">
        <v>60</v>
      </c>
      <c r="C37" s="31">
        <f>+[5]BS17A!$D795</f>
        <v>17</v>
      </c>
      <c r="D37" s="32">
        <f>+[5]BS17A!$U795</f>
        <v>11570</v>
      </c>
      <c r="E37" s="33">
        <f>+[5]BS17A!$V795</f>
        <v>196690</v>
      </c>
      <c r="F37" s="8"/>
    </row>
    <row r="38" spans="1:6" ht="18" customHeight="1" x14ac:dyDescent="0.2">
      <c r="A38" s="251" t="s">
        <v>61</v>
      </c>
      <c r="B38" s="254"/>
      <c r="C38" s="254"/>
      <c r="D38" s="254"/>
      <c r="E38" s="255"/>
      <c r="F38" s="8"/>
    </row>
    <row r="39" spans="1:6" ht="15" customHeight="1" x14ac:dyDescent="0.2">
      <c r="A39" s="17" t="s">
        <v>62</v>
      </c>
      <c r="B39" s="36" t="s">
        <v>63</v>
      </c>
      <c r="C39" s="19">
        <f>+[5]BS17A!$D797</f>
        <v>0</v>
      </c>
      <c r="D39" s="37">
        <f>+[5]BS17A!$U797</f>
        <v>2882</v>
      </c>
      <c r="E39" s="38">
        <f>+[5]BS17A!$V797</f>
        <v>0</v>
      </c>
      <c r="F39" s="8"/>
    </row>
    <row r="40" spans="1:6" ht="15" customHeight="1" x14ac:dyDescent="0.2">
      <c r="A40" s="29" t="s">
        <v>64</v>
      </c>
      <c r="B40" s="39" t="s">
        <v>65</v>
      </c>
      <c r="C40" s="31">
        <f>+[5]BS17A!$D798</f>
        <v>0</v>
      </c>
      <c r="D40" s="40">
        <f>+[5]BS17A!$U798</f>
        <v>6766</v>
      </c>
      <c r="E40" s="41">
        <f>+[5]BS17A!$V798</f>
        <v>0</v>
      </c>
      <c r="F40" s="8"/>
    </row>
    <row r="41" spans="1:6" ht="18" customHeight="1" x14ac:dyDescent="0.2">
      <c r="A41" s="251" t="s">
        <v>66</v>
      </c>
      <c r="B41" s="254"/>
      <c r="C41" s="254"/>
      <c r="D41" s="254"/>
      <c r="E41" s="255"/>
      <c r="F41" s="8"/>
    </row>
    <row r="42" spans="1:6" ht="15" customHeight="1" x14ac:dyDescent="0.2">
      <c r="A42" s="17" t="s">
        <v>67</v>
      </c>
      <c r="B42" s="42" t="s">
        <v>68</v>
      </c>
      <c r="C42" s="19">
        <f>+[5]BS17A!$D34</f>
        <v>0</v>
      </c>
      <c r="D42" s="37">
        <f>+[5]BS17A!$U34</f>
        <v>3340</v>
      </c>
      <c r="E42" s="38">
        <f>+[5]BS17A!$V34</f>
        <v>0</v>
      </c>
      <c r="F42" s="8"/>
    </row>
    <row r="43" spans="1:6" ht="15" customHeight="1" x14ac:dyDescent="0.2">
      <c r="A43" s="22" t="s">
        <v>69</v>
      </c>
      <c r="B43" s="23" t="s">
        <v>70</v>
      </c>
      <c r="C43" s="24">
        <f>+[5]BS17A!$D35</f>
        <v>307</v>
      </c>
      <c r="D43" s="25">
        <f>+[5]BS17A!$U35</f>
        <v>1840</v>
      </c>
      <c r="E43" s="26">
        <f>+[5]BS17A!$V35</f>
        <v>564880</v>
      </c>
      <c r="F43" s="8"/>
    </row>
    <row r="44" spans="1:6" ht="15" customHeight="1" x14ac:dyDescent="0.2">
      <c r="A44" s="22" t="s">
        <v>71</v>
      </c>
      <c r="B44" s="23" t="s">
        <v>72</v>
      </c>
      <c r="C44" s="24">
        <f>+[5]BS17A!$D36</f>
        <v>2</v>
      </c>
      <c r="D44" s="25">
        <f>+[5]BS17A!$U36</f>
        <v>1840</v>
      </c>
      <c r="E44" s="26">
        <f>+[5]BS17A!$V36</f>
        <v>3680</v>
      </c>
      <c r="F44" s="8"/>
    </row>
    <row r="45" spans="1:6" ht="15" customHeight="1" x14ac:dyDescent="0.2">
      <c r="A45" s="29" t="s">
        <v>73</v>
      </c>
      <c r="B45" s="43" t="s">
        <v>74</v>
      </c>
      <c r="C45" s="31">
        <f>+[5]BS17A!$D37</f>
        <v>682</v>
      </c>
      <c r="D45" s="40">
        <f>+[5]BS17A!$U37</f>
        <v>550</v>
      </c>
      <c r="E45" s="41">
        <f>+[5]BS17A!$V37</f>
        <v>375100</v>
      </c>
      <c r="F45" s="8"/>
    </row>
    <row r="46" spans="1:6" ht="18" customHeight="1" x14ac:dyDescent="0.2">
      <c r="A46" s="251" t="s">
        <v>75</v>
      </c>
      <c r="B46" s="254"/>
      <c r="C46" s="254"/>
      <c r="D46" s="254"/>
      <c r="E46" s="255"/>
      <c r="F46" s="8"/>
    </row>
    <row r="47" spans="1:6" ht="15" customHeight="1" x14ac:dyDescent="0.2">
      <c r="A47" s="17" t="s">
        <v>76</v>
      </c>
      <c r="B47" s="42" t="s">
        <v>77</v>
      </c>
      <c r="C47" s="19">
        <f>+[5]BS17A!$D39</f>
        <v>18</v>
      </c>
      <c r="D47" s="37">
        <f>+[5]BS17A!$U39</f>
        <v>1590</v>
      </c>
      <c r="E47" s="38">
        <f>+[5]BS17A!$V39</f>
        <v>28620</v>
      </c>
      <c r="F47" s="8"/>
    </row>
    <row r="48" spans="1:6" ht="15" customHeight="1" x14ac:dyDescent="0.2">
      <c r="A48" s="22" t="s">
        <v>78</v>
      </c>
      <c r="B48" s="23" t="s">
        <v>79</v>
      </c>
      <c r="C48" s="24">
        <f>+[5]BS17A!$D40</f>
        <v>29</v>
      </c>
      <c r="D48" s="25">
        <f>+[5]BS17A!$U40</f>
        <v>1590</v>
      </c>
      <c r="E48" s="26">
        <f>+[5]BS17A!$V40</f>
        <v>46110</v>
      </c>
      <c r="F48" s="8"/>
    </row>
    <row r="49" spans="1:7" ht="15" customHeight="1" x14ac:dyDescent="0.2">
      <c r="A49" s="29" t="s">
        <v>80</v>
      </c>
      <c r="B49" s="43" t="s">
        <v>81</v>
      </c>
      <c r="C49" s="31">
        <f>+[5]BS17A!$D41</f>
        <v>0</v>
      </c>
      <c r="D49" s="40">
        <f>+[5]BS17A!$U41</f>
        <v>910</v>
      </c>
      <c r="E49" s="41">
        <f>+[5]BS17A!$V41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18797</v>
      </c>
      <c r="D50" s="46"/>
      <c r="E50" s="47">
        <f>SUM(E14:E49)</f>
        <v>134187260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251" t="s">
        <v>83</v>
      </c>
      <c r="B53" s="254"/>
      <c r="C53" s="254"/>
      <c r="D53" s="254"/>
      <c r="E53" s="255"/>
      <c r="F53" s="51"/>
      <c r="G53" s="52"/>
    </row>
    <row r="54" spans="1:7" ht="38.25" x14ac:dyDescent="0.2">
      <c r="A54" s="11" t="s">
        <v>8</v>
      </c>
      <c r="B54" s="11" t="s">
        <v>84</v>
      </c>
      <c r="C54" s="12" t="s">
        <v>10</v>
      </c>
      <c r="D54" s="53"/>
      <c r="E54" s="14" t="s">
        <v>12</v>
      </c>
      <c r="F54" s="8"/>
    </row>
    <row r="55" spans="1:7" ht="18" customHeight="1" x14ac:dyDescent="0.2">
      <c r="A55" s="54" t="s">
        <v>85</v>
      </c>
      <c r="B55" s="55" t="s">
        <v>86</v>
      </c>
      <c r="C55" s="56">
        <f>+[5]BS17!$D12</f>
        <v>47688</v>
      </c>
      <c r="D55" s="57"/>
      <c r="E55" s="58">
        <f>+E56+E57+E58+E59+E60+E61+E65+E66+E67</f>
        <v>63585430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+[5]BS17!$D13</f>
        <v>18618</v>
      </c>
      <c r="D56" s="61"/>
      <c r="E56" s="62">
        <f>+[5]BS17A!V83</f>
        <v>18299580</v>
      </c>
      <c r="F56" s="8"/>
    </row>
    <row r="57" spans="1:7" ht="15" customHeight="1" x14ac:dyDescent="0.2">
      <c r="A57" s="22" t="s">
        <v>89</v>
      </c>
      <c r="B57" s="28" t="s">
        <v>90</v>
      </c>
      <c r="C57" s="24">
        <f>+[5]BS17!$D14</f>
        <v>18420</v>
      </c>
      <c r="D57" s="63"/>
      <c r="E57" s="64">
        <f>+[5]BS17A!V174</f>
        <v>20397210</v>
      </c>
      <c r="F57" s="8"/>
    </row>
    <row r="58" spans="1:7" ht="15" customHeight="1" x14ac:dyDescent="0.2">
      <c r="A58" s="22" t="s">
        <v>91</v>
      </c>
      <c r="B58" s="28" t="s">
        <v>92</v>
      </c>
      <c r="C58" s="24">
        <f>+[5]BS17!$D15</f>
        <v>1173</v>
      </c>
      <c r="D58" s="63"/>
      <c r="E58" s="64">
        <f>+[5]BS17A!V243</f>
        <v>3765510</v>
      </c>
      <c r="F58" s="8"/>
    </row>
    <row r="59" spans="1:7" ht="15" customHeight="1" x14ac:dyDescent="0.2">
      <c r="A59" s="22" t="s">
        <v>93</v>
      </c>
      <c r="B59" s="28" t="s">
        <v>94</v>
      </c>
      <c r="C59" s="24">
        <f>+[5]BS17!$D16</f>
        <v>0</v>
      </c>
      <c r="D59" s="63"/>
      <c r="E59" s="64">
        <f>+[5]BS17A!V289</f>
        <v>0</v>
      </c>
      <c r="F59" s="8"/>
    </row>
    <row r="60" spans="1:7" ht="15" customHeight="1" x14ac:dyDescent="0.2">
      <c r="A60" s="65" t="s">
        <v>95</v>
      </c>
      <c r="B60" s="30" t="s">
        <v>96</v>
      </c>
      <c r="C60" s="66">
        <f>+[5]BS17!$D17</f>
        <v>1223</v>
      </c>
      <c r="D60" s="67"/>
      <c r="E60" s="68">
        <f>+[5]BS17A!V295</f>
        <v>5055290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+[5]BS17!$D18</f>
        <v>5567</v>
      </c>
      <c r="D61" s="71"/>
      <c r="E61" s="72">
        <f>SUM(E62:E64)</f>
        <v>13020080</v>
      </c>
      <c r="F61" s="8"/>
    </row>
    <row r="62" spans="1:7" ht="15" customHeight="1" x14ac:dyDescent="0.2">
      <c r="A62" s="73"/>
      <c r="B62" s="42" t="s">
        <v>99</v>
      </c>
      <c r="C62" s="19">
        <f>+[5]BS17!$D19</f>
        <v>4597</v>
      </c>
      <c r="D62" s="74"/>
      <c r="E62" s="75">
        <f>+[5]BS17A!V362</f>
        <v>9503560</v>
      </c>
      <c r="F62" s="8"/>
    </row>
    <row r="63" spans="1:7" ht="15" customHeight="1" x14ac:dyDescent="0.2">
      <c r="A63" s="73"/>
      <c r="B63" s="28" t="s">
        <v>100</v>
      </c>
      <c r="C63" s="24">
        <f>+[5]BS17!$D20</f>
        <v>79</v>
      </c>
      <c r="D63" s="63"/>
      <c r="E63" s="64">
        <f>+[5]BS17A!V405</f>
        <v>186500</v>
      </c>
      <c r="F63" s="8"/>
    </row>
    <row r="64" spans="1:7" ht="15" customHeight="1" x14ac:dyDescent="0.2">
      <c r="A64" s="76"/>
      <c r="B64" s="43" t="s">
        <v>101</v>
      </c>
      <c r="C64" s="31">
        <f>+[5]BS17!$D21</f>
        <v>891</v>
      </c>
      <c r="D64" s="77"/>
      <c r="E64" s="78">
        <f>+[5]BS17A!V428</f>
        <v>3330020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+[5]BS17!$D22</f>
        <v>0</v>
      </c>
      <c r="D65" s="61"/>
      <c r="E65" s="62">
        <f>+[5]BS17A!V446</f>
        <v>0</v>
      </c>
      <c r="F65" s="8"/>
    </row>
    <row r="66" spans="1:7" ht="15" customHeight="1" x14ac:dyDescent="0.2">
      <c r="A66" s="22" t="s">
        <v>104</v>
      </c>
      <c r="B66" s="28" t="s">
        <v>105</v>
      </c>
      <c r="C66" s="24">
        <f>+[5]BS17!$D23</f>
        <v>58</v>
      </c>
      <c r="D66" s="63"/>
      <c r="E66" s="64">
        <f>+[5]BS17A!V456</f>
        <v>85420</v>
      </c>
      <c r="F66" s="8"/>
    </row>
    <row r="67" spans="1:7" ht="15" customHeight="1" x14ac:dyDescent="0.2">
      <c r="A67" s="65" t="s">
        <v>106</v>
      </c>
      <c r="B67" s="30" t="s">
        <v>107</v>
      </c>
      <c r="C67" s="66">
        <f>+[5]BS17!$D24</f>
        <v>2629</v>
      </c>
      <c r="D67" s="67"/>
      <c r="E67" s="68">
        <f>+[5]BS17A!V500</f>
        <v>2962340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+[5]BS17!$D25</f>
        <v>4375</v>
      </c>
      <c r="D68" s="83"/>
      <c r="E68" s="84">
        <f>SUM(E69:E74)</f>
        <v>53792620</v>
      </c>
      <c r="F68" s="8"/>
    </row>
    <row r="69" spans="1:7" ht="15" customHeight="1" x14ac:dyDescent="0.2">
      <c r="A69" s="22" t="s">
        <v>110</v>
      </c>
      <c r="B69" s="28" t="s">
        <v>111</v>
      </c>
      <c r="C69" s="24">
        <f>+[5]BS17!$D26</f>
        <v>2894</v>
      </c>
      <c r="D69" s="63"/>
      <c r="E69" s="64">
        <f>+[5]BS17A!V535</f>
        <v>20933830</v>
      </c>
      <c r="F69" s="8"/>
    </row>
    <row r="70" spans="1:7" ht="15" customHeight="1" x14ac:dyDescent="0.2">
      <c r="A70" s="22" t="s">
        <v>112</v>
      </c>
      <c r="B70" s="28" t="s">
        <v>113</v>
      </c>
      <c r="C70" s="24">
        <f>+[5]BS17!$D27</f>
        <v>3</v>
      </c>
      <c r="D70" s="63"/>
      <c r="E70" s="64">
        <f>+[5]BS17A!V590</f>
        <v>57630</v>
      </c>
      <c r="F70" s="8"/>
    </row>
    <row r="71" spans="1:7" ht="15" customHeight="1" x14ac:dyDescent="0.2">
      <c r="A71" s="22" t="s">
        <v>114</v>
      </c>
      <c r="B71" s="28" t="s">
        <v>115</v>
      </c>
      <c r="C71" s="24">
        <f>+[5]BS17!$D28</f>
        <v>380</v>
      </c>
      <c r="D71" s="63"/>
      <c r="E71" s="64">
        <f>+[5]BS17A!V615</f>
        <v>17823100</v>
      </c>
      <c r="F71" s="8"/>
    </row>
    <row r="72" spans="1:7" ht="15" customHeight="1" x14ac:dyDescent="0.2">
      <c r="A72" s="22" t="s">
        <v>116</v>
      </c>
      <c r="B72" s="28" t="s">
        <v>117</v>
      </c>
      <c r="C72" s="24">
        <f>+[5]BS17!$D30+[5]BS17!$D32</f>
        <v>1098</v>
      </c>
      <c r="D72" s="63"/>
      <c r="E72" s="64">
        <f>+[5]BS17A!V633-[5]BS17A!V634</f>
        <v>14978060</v>
      </c>
      <c r="F72" s="8"/>
    </row>
    <row r="73" spans="1:7" ht="15" customHeight="1" x14ac:dyDescent="0.2">
      <c r="A73" s="85"/>
      <c r="B73" s="28" t="s">
        <v>118</v>
      </c>
      <c r="C73" s="24">
        <f>+[5]BS17!$D31</f>
        <v>0</v>
      </c>
      <c r="D73" s="63"/>
      <c r="E73" s="64">
        <f>+[5]BS17A!V634</f>
        <v>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+[5]BS17!$D33</f>
        <v>0</v>
      </c>
      <c r="D74" s="89"/>
      <c r="E74" s="90">
        <f>+[5]BS17A!V654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+[5]BS17!$D34</f>
        <v>0</v>
      </c>
      <c r="D75" s="94"/>
      <c r="E75" s="95">
        <f>+[5]BS17A!V779</f>
        <v>0</v>
      </c>
      <c r="F75" s="8"/>
    </row>
    <row r="76" spans="1:7" ht="15" customHeight="1" x14ac:dyDescent="0.2">
      <c r="A76" s="96"/>
      <c r="B76" s="97" t="s">
        <v>123</v>
      </c>
      <c r="C76" s="56">
        <f>+C55+C68+C75</f>
        <v>52063</v>
      </c>
      <c r="D76" s="57"/>
      <c r="E76" s="98">
        <f>+E55+E68+E75</f>
        <v>117378050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256" t="s">
        <v>124</v>
      </c>
      <c r="B79" s="252"/>
      <c r="C79" s="252"/>
      <c r="D79" s="252"/>
      <c r="E79" s="253"/>
      <c r="F79" s="51"/>
      <c r="G79" s="52"/>
    </row>
    <row r="80" spans="1:7" ht="38.25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19">
        <f>+[5]BS17!D49</f>
        <v>0</v>
      </c>
      <c r="D81" s="61"/>
      <c r="E81" s="103">
        <f>+SUM([5]BS17A!V670+[5]BS17A!V697+[5]BS17A!V716+[5]BS17A!V723+[5]BS17A!V726+[5]BS17A!V743+[5]BS17A!V760)</f>
        <v>0</v>
      </c>
      <c r="F81" s="8"/>
    </row>
    <row r="82" spans="1:6" ht="15" customHeight="1" x14ac:dyDescent="0.2">
      <c r="A82" s="104">
        <v>2001</v>
      </c>
      <c r="B82" s="28" t="s">
        <v>127</v>
      </c>
      <c r="C82" s="24">
        <f>+[5]BS17!E120</f>
        <v>1043</v>
      </c>
      <c r="D82" s="63"/>
      <c r="E82" s="105">
        <f>+[5]BS17A!V1562</f>
        <v>8066090</v>
      </c>
      <c r="F82" s="8"/>
    </row>
    <row r="83" spans="1:6" ht="15" customHeight="1" x14ac:dyDescent="0.2">
      <c r="A83" s="65" t="s">
        <v>128</v>
      </c>
      <c r="B83" s="30" t="s">
        <v>129</v>
      </c>
      <c r="C83" s="66">
        <f>+[5]BS17A!D1837</f>
        <v>24</v>
      </c>
      <c r="D83" s="67"/>
      <c r="E83" s="106">
        <f>+[5]BS17A!V1837</f>
        <v>1663500</v>
      </c>
      <c r="F83" s="8"/>
    </row>
    <row r="84" spans="1:6" ht="17.25" customHeight="1" x14ac:dyDescent="0.2">
      <c r="A84" s="96"/>
      <c r="B84" s="97" t="s">
        <v>130</v>
      </c>
      <c r="C84" s="56">
        <f>+SUM(C81:C83)</f>
        <v>1067</v>
      </c>
      <c r="D84" s="57"/>
      <c r="E84" s="107">
        <f>SUM(E81:E83)</f>
        <v>9729590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239" t="s">
        <v>131</v>
      </c>
      <c r="B87" s="240"/>
      <c r="C87" s="240"/>
      <c r="D87" s="240"/>
      <c r="E87" s="240"/>
      <c r="F87" s="241"/>
    </row>
    <row r="88" spans="1:6" ht="33.75" customHeight="1" x14ac:dyDescent="0.15">
      <c r="A88" s="260" t="s">
        <v>8</v>
      </c>
      <c r="B88" s="260" t="s">
        <v>9</v>
      </c>
      <c r="C88" s="242" t="s">
        <v>10</v>
      </c>
      <c r="D88" s="243"/>
      <c r="E88" s="243"/>
      <c r="F88" s="244"/>
    </row>
    <row r="89" spans="1:6" ht="35.25" customHeight="1" x14ac:dyDescent="0.15">
      <c r="A89" s="261"/>
      <c r="B89" s="261"/>
      <c r="C89" s="99" t="s">
        <v>132</v>
      </c>
      <c r="D89" s="108" t="s">
        <v>133</v>
      </c>
      <c r="E89" s="13" t="s">
        <v>134</v>
      </c>
      <c r="F89" s="1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+[5]BS17!F66</f>
        <v>0</v>
      </c>
      <c r="D90" s="110">
        <f>+[5]BS17!G66</f>
        <v>0</v>
      </c>
      <c r="E90" s="111">
        <f>+[5]BS17!H66</f>
        <v>0</v>
      </c>
      <c r="F90" s="112">
        <f>[5]BS17A!V807</f>
        <v>0</v>
      </c>
    </row>
    <row r="91" spans="1:6" ht="15" customHeight="1" x14ac:dyDescent="0.2">
      <c r="A91" s="22" t="s">
        <v>137</v>
      </c>
      <c r="B91" s="28" t="s">
        <v>138</v>
      </c>
      <c r="C91" s="113">
        <f>+[5]BS17!F67</f>
        <v>57</v>
      </c>
      <c r="D91" s="114">
        <f>+[5]BS17!G67</f>
        <v>0</v>
      </c>
      <c r="E91" s="115">
        <f>+[5]BS17!H67</f>
        <v>0</v>
      </c>
      <c r="F91" s="116">
        <f>[5]BS17A!V878</f>
        <v>23974720</v>
      </c>
    </row>
    <row r="92" spans="1:6" ht="15" customHeight="1" x14ac:dyDescent="0.2">
      <c r="A92" s="22" t="s">
        <v>139</v>
      </c>
      <c r="B92" s="28" t="s">
        <v>140</v>
      </c>
      <c r="C92" s="113">
        <f>+[5]BS17!F68</f>
        <v>14</v>
      </c>
      <c r="D92" s="114">
        <f>+[5]BS17!G68</f>
        <v>0</v>
      </c>
      <c r="E92" s="115">
        <f>+[5]BS17!H68</f>
        <v>0</v>
      </c>
      <c r="F92" s="116">
        <f>[5]BS17A!V957</f>
        <v>1104540</v>
      </c>
    </row>
    <row r="93" spans="1:6" ht="15" customHeight="1" x14ac:dyDescent="0.2">
      <c r="A93" s="22" t="s">
        <v>141</v>
      </c>
      <c r="B93" s="28" t="s">
        <v>142</v>
      </c>
      <c r="C93" s="113">
        <f>+[5]BS17!F69</f>
        <v>6</v>
      </c>
      <c r="D93" s="114">
        <f>+[5]BS17!G69</f>
        <v>2</v>
      </c>
      <c r="E93" s="115">
        <f>+[5]BS17!H69</f>
        <v>0</v>
      </c>
      <c r="F93" s="116">
        <f>[5]BS17A!V1033</f>
        <v>1005055</v>
      </c>
    </row>
    <row r="94" spans="1:6" ht="15" customHeight="1" x14ac:dyDescent="0.2">
      <c r="A94" s="22" t="s">
        <v>143</v>
      </c>
      <c r="B94" s="28" t="s">
        <v>144</v>
      </c>
      <c r="C94" s="113">
        <f>+[5]BS17!F70</f>
        <v>84</v>
      </c>
      <c r="D94" s="114">
        <f>+[5]BS17!G70</f>
        <v>2</v>
      </c>
      <c r="E94" s="115">
        <f>+[5]BS17!H70</f>
        <v>0</v>
      </c>
      <c r="F94" s="116">
        <f>[5]BS17A!V1094</f>
        <v>4397060</v>
      </c>
    </row>
    <row r="95" spans="1:6" ht="15" customHeight="1" x14ac:dyDescent="0.2">
      <c r="A95" s="22" t="s">
        <v>145</v>
      </c>
      <c r="B95" s="28" t="s">
        <v>146</v>
      </c>
      <c r="C95" s="113">
        <f>+[5]BS17!F71</f>
        <v>118</v>
      </c>
      <c r="D95" s="114">
        <f>+[5]BS17!G71</f>
        <v>3</v>
      </c>
      <c r="E95" s="115">
        <f>+[5]BS17!H71</f>
        <v>0</v>
      </c>
      <c r="F95" s="116">
        <f>[5]BS17A!V1162</f>
        <v>2993925</v>
      </c>
    </row>
    <row r="96" spans="1:6" ht="15" customHeight="1" x14ac:dyDescent="0.2">
      <c r="A96" s="22" t="s">
        <v>147</v>
      </c>
      <c r="B96" s="28" t="s">
        <v>148</v>
      </c>
      <c r="C96" s="113">
        <f>+[5]BS17!F72</f>
        <v>4</v>
      </c>
      <c r="D96" s="114">
        <f>+[5]BS17!G72</f>
        <v>0</v>
      </c>
      <c r="E96" s="115">
        <f>+[5]BS17!H72</f>
        <v>0</v>
      </c>
      <c r="F96" s="116">
        <f>[5]BS17A!V1210</f>
        <v>379790</v>
      </c>
    </row>
    <row r="97" spans="1:6" ht="15" customHeight="1" x14ac:dyDescent="0.2">
      <c r="A97" s="22" t="s">
        <v>149</v>
      </c>
      <c r="B97" s="28" t="s">
        <v>150</v>
      </c>
      <c r="C97" s="113">
        <f>+[5]BS17!F73</f>
        <v>3</v>
      </c>
      <c r="D97" s="114">
        <f>+[5]BS17!G73</f>
        <v>0</v>
      </c>
      <c r="E97" s="115">
        <f>+[5]BS17!H73</f>
        <v>0</v>
      </c>
      <c r="F97" s="116">
        <f>[5]BS17A!V1276</f>
        <v>275220</v>
      </c>
    </row>
    <row r="98" spans="1:6" ht="15" customHeight="1" x14ac:dyDescent="0.2">
      <c r="A98" s="22" t="s">
        <v>151</v>
      </c>
      <c r="B98" s="28" t="s">
        <v>152</v>
      </c>
      <c r="C98" s="113">
        <f>+[5]BS17!F74</f>
        <v>179</v>
      </c>
      <c r="D98" s="114">
        <f>+[5]BS17!G74</f>
        <v>15</v>
      </c>
      <c r="E98" s="115">
        <f>+[5]BS17!H74</f>
        <v>0</v>
      </c>
      <c r="F98" s="116">
        <f>[5]BS17A!V1346</f>
        <v>43496800</v>
      </c>
    </row>
    <row r="99" spans="1:6" ht="15" customHeight="1" x14ac:dyDescent="0.2">
      <c r="A99" s="22" t="s">
        <v>153</v>
      </c>
      <c r="B99" s="28" t="s">
        <v>154</v>
      </c>
      <c r="C99" s="113">
        <f>+[5]BS17!F75</f>
        <v>11</v>
      </c>
      <c r="D99" s="114">
        <f>+[5]BS17!G75</f>
        <v>0</v>
      </c>
      <c r="E99" s="115">
        <f>+[5]BS17!H75</f>
        <v>0</v>
      </c>
      <c r="F99" s="116">
        <f>[5]BS17A!V1430</f>
        <v>732520</v>
      </c>
    </row>
    <row r="100" spans="1:6" ht="15" customHeight="1" x14ac:dyDescent="0.2">
      <c r="A100" s="22" t="s">
        <v>155</v>
      </c>
      <c r="B100" s="28" t="s">
        <v>156</v>
      </c>
      <c r="C100" s="113">
        <f>+[5]BS17!F76</f>
        <v>27</v>
      </c>
      <c r="D100" s="114">
        <f>+[5]BS17!G76</f>
        <v>3</v>
      </c>
      <c r="E100" s="115">
        <f>+[5]BS17!H76</f>
        <v>0</v>
      </c>
      <c r="F100" s="116">
        <f>[5]BS17A!V1477</f>
        <v>5606725</v>
      </c>
    </row>
    <row r="101" spans="1:6" ht="15" customHeight="1" x14ac:dyDescent="0.2">
      <c r="A101" s="22" t="s">
        <v>157</v>
      </c>
      <c r="B101" s="28" t="s">
        <v>158</v>
      </c>
      <c r="C101" s="113">
        <f>+[5]BS17!F77</f>
        <v>2</v>
      </c>
      <c r="D101" s="114">
        <f>+[5]BS17!G77</f>
        <v>0</v>
      </c>
      <c r="E101" s="115">
        <f>+[5]BS17!H77</f>
        <v>0</v>
      </c>
      <c r="F101" s="116">
        <f>[5]BS17A!V1580</f>
        <v>591260</v>
      </c>
    </row>
    <row r="102" spans="1:6" ht="15" customHeight="1" x14ac:dyDescent="0.2">
      <c r="A102" s="65" t="s">
        <v>159</v>
      </c>
      <c r="B102" s="30" t="s">
        <v>160</v>
      </c>
      <c r="C102" s="117">
        <f>+[5]BS17!F78</f>
        <v>36</v>
      </c>
      <c r="D102" s="118">
        <f>+[5]BS17!G78</f>
        <v>7</v>
      </c>
      <c r="E102" s="119">
        <f>+[5]BS17!H78</f>
        <v>0</v>
      </c>
      <c r="F102" s="120">
        <f>[5]BS17A!V1585</f>
        <v>7369785</v>
      </c>
    </row>
    <row r="103" spans="1:6" ht="15" customHeight="1" x14ac:dyDescent="0.2">
      <c r="A103" s="17" t="s">
        <v>161</v>
      </c>
      <c r="B103" s="36" t="s">
        <v>162</v>
      </c>
      <c r="C103" s="109">
        <f>+[5]BS17!F79</f>
        <v>66</v>
      </c>
      <c r="D103" s="110">
        <f>+[5]BS17!G79</f>
        <v>3</v>
      </c>
      <c r="E103" s="111">
        <f>+[5]BS17!H79</f>
        <v>0</v>
      </c>
      <c r="F103" s="112">
        <f>+[5]BS17A!V1619</f>
        <v>7198470</v>
      </c>
    </row>
    <row r="104" spans="1:6" ht="15" customHeight="1" x14ac:dyDescent="0.2">
      <c r="A104" s="22"/>
      <c r="B104" s="28" t="s">
        <v>163</v>
      </c>
      <c r="C104" s="113">
        <f>+[5]BS17A!D1623</f>
        <v>0</v>
      </c>
      <c r="D104" s="114">
        <f>+[5]BS17A!F1623</f>
        <v>0</v>
      </c>
      <c r="E104" s="115">
        <f>+[5]BS17A!G1623</f>
        <v>0</v>
      </c>
      <c r="F104" s="116">
        <f>+[5]BS17A!V1623</f>
        <v>0</v>
      </c>
    </row>
    <row r="105" spans="1:6" ht="15" customHeight="1" x14ac:dyDescent="0.2">
      <c r="A105" s="22"/>
      <c r="B105" s="28" t="s">
        <v>164</v>
      </c>
      <c r="C105" s="113">
        <f>+[5]BS17A!D1622</f>
        <v>39</v>
      </c>
      <c r="D105" s="114">
        <f>+[5]BS17A!F1622</f>
        <v>0</v>
      </c>
      <c r="E105" s="115">
        <f>+[5]BS17A!G1622</f>
        <v>0</v>
      </c>
      <c r="F105" s="116">
        <f>+[5]BS17A!V1622</f>
        <v>4615650</v>
      </c>
    </row>
    <row r="106" spans="1:6" ht="15" customHeight="1" x14ac:dyDescent="0.2">
      <c r="A106" s="29"/>
      <c r="B106" s="39" t="s">
        <v>165</v>
      </c>
      <c r="C106" s="121">
        <f>+[5]BS17A!D1620+[5]BS17A!D1621</f>
        <v>27</v>
      </c>
      <c r="D106" s="122">
        <f>+[5]BS17A!F1620+[5]BS17A!F1621</f>
        <v>3</v>
      </c>
      <c r="E106" s="123">
        <f>+[5]BS17A!G1620+[5]BS17A!G1621</f>
        <v>0</v>
      </c>
      <c r="F106" s="124">
        <f>+[5]BS17A!V1620+[5]BS17A!V1621</f>
        <v>2582820</v>
      </c>
    </row>
    <row r="107" spans="1:6" ht="15" customHeight="1" x14ac:dyDescent="0.2">
      <c r="A107" s="59" t="s">
        <v>166</v>
      </c>
      <c r="B107" s="79" t="s">
        <v>167</v>
      </c>
      <c r="C107" s="125">
        <f>+[5]BS17!F80</f>
        <v>57</v>
      </c>
      <c r="D107" s="126">
        <f>+[5]BS17!G80</f>
        <v>3</v>
      </c>
      <c r="E107" s="127">
        <f>+[5]BS17!H80</f>
        <v>0</v>
      </c>
      <c r="F107" s="128">
        <f>+[5]BS17A!V1627</f>
        <v>10176120</v>
      </c>
    </row>
    <row r="108" spans="1:6" ht="15" customHeight="1" x14ac:dyDescent="0.2">
      <c r="A108" s="129">
        <v>2106</v>
      </c>
      <c r="B108" s="39" t="s">
        <v>168</v>
      </c>
      <c r="C108" s="121">
        <f>[5]BS17A!D1833</f>
        <v>4</v>
      </c>
      <c r="D108" s="122">
        <f>[5]BS17A!F1833</f>
        <v>0</v>
      </c>
      <c r="E108" s="123">
        <f>[5]BS17A!G1833</f>
        <v>0</v>
      </c>
      <c r="F108" s="124">
        <f>+[5]BS17A!V1833</f>
        <v>325810</v>
      </c>
    </row>
    <row r="109" spans="1:6" ht="15" customHeight="1" x14ac:dyDescent="0.2">
      <c r="A109" s="130"/>
      <c r="B109" s="131" t="s">
        <v>169</v>
      </c>
      <c r="C109" s="132">
        <f>SUM(C90:C108)-C103</f>
        <v>668</v>
      </c>
      <c r="D109" s="133">
        <f>SUM(D90:D108)-D103</f>
        <v>38</v>
      </c>
      <c r="E109" s="134">
        <f>+SUM(E90:E103)+E107+E108</f>
        <v>0</v>
      </c>
      <c r="F109" s="135">
        <f>+SUM(F90:F103)+F107+F108</f>
        <v>109627800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256" t="s">
        <v>170</v>
      </c>
      <c r="B112" s="252"/>
      <c r="C112" s="252"/>
      <c r="D112" s="252"/>
      <c r="E112" s="253"/>
      <c r="F112" s="5"/>
    </row>
    <row r="113" spans="1:6" ht="38.25" x14ac:dyDescent="0.2">
      <c r="A113" s="11" t="s">
        <v>8</v>
      </c>
      <c r="B113" s="11" t="s">
        <v>9</v>
      </c>
      <c r="C113" s="12" t="s">
        <v>10</v>
      </c>
      <c r="D113" s="13" t="s">
        <v>11</v>
      </c>
      <c r="E113" s="1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19">
        <f>+[5]BS17A!D1624</f>
        <v>106</v>
      </c>
      <c r="D114" s="136">
        <f>+[5]BS17A!U1624</f>
        <v>118340</v>
      </c>
      <c r="E114" s="137">
        <f>+[5]BS17A!V1624</f>
        <v>12544040</v>
      </c>
      <c r="F114" s="8"/>
    </row>
    <row r="115" spans="1:6" ht="15" customHeight="1" x14ac:dyDescent="0.2">
      <c r="A115" s="29" t="s">
        <v>173</v>
      </c>
      <c r="B115" s="138" t="s">
        <v>174</v>
      </c>
      <c r="C115" s="66">
        <f>+[5]BS17A!D1625</f>
        <v>9</v>
      </c>
      <c r="D115" s="139">
        <f>+[5]BS17A!U1625</f>
        <v>124520</v>
      </c>
      <c r="E115" s="106">
        <f>+[5]BS17A!V1625</f>
        <v>1120680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115</v>
      </c>
      <c r="D116" s="57"/>
      <c r="E116" s="107">
        <f>SUM(E114:E115)</f>
        <v>13664720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262" t="s">
        <v>176</v>
      </c>
      <c r="B119" s="262"/>
      <c r="C119" s="262"/>
      <c r="D119" s="8"/>
      <c r="E119" s="8"/>
      <c r="F119" s="5"/>
    </row>
    <row r="120" spans="1:6" ht="28.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+[5]BS17A!V1859+[5]BS17A!V1876+[5]BS17A!V1895</f>
        <v>12103510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256" t="s">
        <v>179</v>
      </c>
      <c r="B124" s="252"/>
      <c r="C124" s="252"/>
      <c r="D124" s="252"/>
      <c r="E124" s="253"/>
      <c r="F124" s="5"/>
    </row>
    <row r="125" spans="1:6" ht="38.25" x14ac:dyDescent="0.2">
      <c r="A125" s="11" t="s">
        <v>8</v>
      </c>
      <c r="B125" s="11" t="s">
        <v>9</v>
      </c>
      <c r="C125" s="12" t="s">
        <v>10</v>
      </c>
      <c r="D125" s="13" t="s">
        <v>11</v>
      </c>
      <c r="E125" s="1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19">
        <f>+[5]BS17A!$D59</f>
        <v>5590</v>
      </c>
      <c r="D126" s="37">
        <f>+[5]BS17A!$U59</f>
        <v>30310</v>
      </c>
      <c r="E126" s="145">
        <f>+[5]BS17A!$V59</f>
        <v>169432900</v>
      </c>
      <c r="F126" s="8"/>
    </row>
    <row r="127" spans="1:6" ht="15" customHeight="1" x14ac:dyDescent="0.2">
      <c r="A127" s="22" t="s">
        <v>182</v>
      </c>
      <c r="B127" s="23" t="s">
        <v>183</v>
      </c>
      <c r="C127" s="24">
        <f>+[5]BS17A!$D60</f>
        <v>0</v>
      </c>
      <c r="D127" s="25">
        <f>+[5]BS17A!$U60</f>
        <v>27900</v>
      </c>
      <c r="E127" s="146">
        <f>+[5]BS17A!$V60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24">
        <f>+[5]BS17A!$D61</f>
        <v>0</v>
      </c>
      <c r="D128" s="25">
        <f>+[5]BS17A!$U61</f>
        <v>23260</v>
      </c>
      <c r="E128" s="146">
        <f>+[5]BS17A!$V61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24">
        <f>SUM([5]BS17A!D62:D64)</f>
        <v>0</v>
      </c>
      <c r="D129" s="25">
        <f>+[5]BS17A!$U62</f>
        <v>126000</v>
      </c>
      <c r="E129" s="146">
        <f>SUM([5]BS17A!V62:V64)</f>
        <v>0</v>
      </c>
      <c r="F129" s="8"/>
    </row>
    <row r="130" spans="1:6" ht="15" customHeight="1" x14ac:dyDescent="0.2">
      <c r="A130" s="22" t="s">
        <v>188</v>
      </c>
      <c r="B130" s="23" t="s">
        <v>189</v>
      </c>
      <c r="C130" s="24">
        <f>SUM([5]BS17A!D65:D67)</f>
        <v>369</v>
      </c>
      <c r="D130" s="25">
        <f>+[5]BS17A!$U65</f>
        <v>60860</v>
      </c>
      <c r="E130" s="146">
        <f>SUM([5]BS17A!V65:V67)</f>
        <v>22457340</v>
      </c>
      <c r="F130" s="8"/>
    </row>
    <row r="131" spans="1:6" ht="15" customHeight="1" x14ac:dyDescent="0.2">
      <c r="A131" s="22" t="s">
        <v>190</v>
      </c>
      <c r="B131" s="23" t="s">
        <v>191</v>
      </c>
      <c r="C131" s="24">
        <f>+[5]BS17A!D68</f>
        <v>192</v>
      </c>
      <c r="D131" s="25">
        <f>+[5]BS17A!$U68</f>
        <v>54600</v>
      </c>
      <c r="E131" s="146">
        <f>+[5]BS17A!$V68</f>
        <v>10483200</v>
      </c>
      <c r="F131" s="8"/>
    </row>
    <row r="132" spans="1:6" ht="15" customHeight="1" x14ac:dyDescent="0.2">
      <c r="A132" s="22" t="s">
        <v>192</v>
      </c>
      <c r="B132" s="23" t="s">
        <v>193</v>
      </c>
      <c r="C132" s="24">
        <f>+[5]BS17A!$D69</f>
        <v>0</v>
      </c>
      <c r="D132" s="25">
        <f>+[5]BS17A!$U69</f>
        <v>15500</v>
      </c>
      <c r="E132" s="146">
        <f>+[5]BS17A!$V69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24">
        <f>+[5]BS17A!$D70</f>
        <v>0</v>
      </c>
      <c r="D133" s="25">
        <f>+[5]BS17A!$U70</f>
        <v>24280</v>
      </c>
      <c r="E133" s="146">
        <f>+[5]BS17A!$V70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24">
        <f>+[5]BS17A!$D73</f>
        <v>0</v>
      </c>
      <c r="D134" s="25">
        <f>+[5]BS17A!$U73</f>
        <v>24470</v>
      </c>
      <c r="E134" s="146">
        <f>+[5]BS17A!$V73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24">
        <f>+[5]BS17A!$D71</f>
        <v>0</v>
      </c>
      <c r="D135" s="25">
        <f>+[5]BS17A!$U71</f>
        <v>25270</v>
      </c>
      <c r="E135" s="146">
        <f>+[5]BS17A!$V71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24">
        <f>+[5]BS17A!$D76</f>
        <v>0</v>
      </c>
      <c r="D136" s="25">
        <f>+[5]BS17A!$U76</f>
        <v>30310</v>
      </c>
      <c r="E136" s="146">
        <f>+[5]BS17A!$V76</f>
        <v>0</v>
      </c>
      <c r="F136" s="8"/>
    </row>
    <row r="137" spans="1:6" ht="15" customHeight="1" x14ac:dyDescent="0.2">
      <c r="A137" s="22" t="s">
        <v>202</v>
      </c>
      <c r="B137" s="28" t="s">
        <v>203</v>
      </c>
      <c r="C137" s="24">
        <f>+[5]BS17A!$D79</f>
        <v>39</v>
      </c>
      <c r="D137" s="25">
        <f>+[5]BS17A!$U79</f>
        <v>5880</v>
      </c>
      <c r="E137" s="146">
        <f>+[5]BS17A!$V79</f>
        <v>229320</v>
      </c>
      <c r="F137" s="8"/>
    </row>
    <row r="138" spans="1:6" ht="15" customHeight="1" x14ac:dyDescent="0.2">
      <c r="A138" s="22" t="s">
        <v>204</v>
      </c>
      <c r="B138" s="28" t="s">
        <v>205</v>
      </c>
      <c r="C138" s="24">
        <f>+[5]BS17A!$D80</f>
        <v>0</v>
      </c>
      <c r="D138" s="25">
        <f>+[5]BS17A!$U80</f>
        <v>42470</v>
      </c>
      <c r="E138" s="146">
        <f>+[5]BS17A!$V80</f>
        <v>0</v>
      </c>
      <c r="F138" s="8"/>
    </row>
    <row r="139" spans="1:6" ht="15" customHeight="1" x14ac:dyDescent="0.2">
      <c r="A139" s="29"/>
      <c r="B139" s="147" t="s">
        <v>206</v>
      </c>
      <c r="C139" s="148">
        <f>SUM(C126:C138)</f>
        <v>6190</v>
      </c>
      <c r="D139" s="149"/>
      <c r="E139" s="150">
        <f>SUM(E126:E138)</f>
        <v>202602760</v>
      </c>
      <c r="F139" s="8"/>
    </row>
    <row r="140" spans="1:6" ht="15" customHeight="1" x14ac:dyDescent="0.2">
      <c r="A140" s="17"/>
      <c r="B140" s="81" t="s">
        <v>207</v>
      </c>
      <c r="C140" s="19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24">
        <f>+[5]BS17A!$D72</f>
        <v>0</v>
      </c>
      <c r="D141" s="25">
        <f>+[5]BS17A!$U72</f>
        <v>10190</v>
      </c>
      <c r="E141" s="146">
        <f>+[5]BS17A!$V72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24">
        <f>+[5]BS17A!$D74</f>
        <v>0</v>
      </c>
      <c r="D142" s="25">
        <f>+[5]BS17A!$U74</f>
        <v>10190</v>
      </c>
      <c r="E142" s="146">
        <f>+[5]BS17A!$V74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24">
        <f>+[5]BS17A!$D75</f>
        <v>9</v>
      </c>
      <c r="D143" s="25">
        <f>+[5]BS17A!$U75</f>
        <v>4490</v>
      </c>
      <c r="E143" s="146">
        <f>+[5]BS17A!$V75</f>
        <v>40410</v>
      </c>
      <c r="F143" s="8"/>
    </row>
    <row r="144" spans="1:6" ht="15" customHeight="1" x14ac:dyDescent="0.2">
      <c r="A144" s="22" t="s">
        <v>214</v>
      </c>
      <c r="B144" s="23" t="s">
        <v>215</v>
      </c>
      <c r="C144" s="24">
        <f>+[5]BS17A!$D77</f>
        <v>0</v>
      </c>
      <c r="D144" s="25">
        <f>+[5]BS17A!$U77</f>
        <v>81940</v>
      </c>
      <c r="E144" s="146">
        <f>+[5]BS17A!$V77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24">
        <f>+[5]BS17A!$D78</f>
        <v>0</v>
      </c>
      <c r="D145" s="25">
        <f>+[5]BS17A!$U78</f>
        <v>9670</v>
      </c>
      <c r="E145" s="146">
        <f>+[5]BS17A!$V78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24">
        <f>+[5]BS17A!$D81</f>
        <v>0</v>
      </c>
      <c r="D146" s="25">
        <f>+[5]BS17A!$U81</f>
        <v>7450</v>
      </c>
      <c r="E146" s="146">
        <f>+[5]BS17A!$V81</f>
        <v>0</v>
      </c>
      <c r="F146" s="8"/>
    </row>
    <row r="147" spans="1:6" ht="15" customHeight="1" x14ac:dyDescent="0.2">
      <c r="A147" s="29"/>
      <c r="B147" s="147" t="s">
        <v>220</v>
      </c>
      <c r="C147" s="148">
        <f>SUM(C141:C146)</f>
        <v>9</v>
      </c>
      <c r="D147" s="149"/>
      <c r="E147" s="150">
        <f>SUM(E141:E146)</f>
        <v>40410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6199</v>
      </c>
      <c r="D148" s="151"/>
      <c r="E148" s="152">
        <f>+E139+E147</f>
        <v>202643170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239" t="s">
        <v>222</v>
      </c>
      <c r="B151" s="240"/>
      <c r="C151" s="240"/>
      <c r="D151" s="240"/>
      <c r="E151" s="241"/>
      <c r="F151" s="5"/>
    </row>
    <row r="152" spans="1:6" ht="36" customHeight="1" x14ac:dyDescent="0.2">
      <c r="A152" s="11" t="s">
        <v>8</v>
      </c>
      <c r="B152" s="11" t="s">
        <v>9</v>
      </c>
      <c r="C152" s="12" t="s">
        <v>10</v>
      </c>
      <c r="D152" s="13" t="s">
        <v>11</v>
      </c>
      <c r="E152" s="1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19">
        <f>+[5]BS17A!D43</f>
        <v>2937</v>
      </c>
      <c r="D153" s="37">
        <f>[5]BS17A!U43</f>
        <v>700</v>
      </c>
      <c r="E153" s="145">
        <f>+[5]BS17A!V43</f>
        <v>2055900</v>
      </c>
      <c r="F153" s="8"/>
    </row>
    <row r="154" spans="1:6" ht="15" customHeight="1" x14ac:dyDescent="0.2">
      <c r="A154" s="29" t="s">
        <v>225</v>
      </c>
      <c r="B154" s="43" t="s">
        <v>226</v>
      </c>
      <c r="C154" s="31">
        <f>+[5]BS17A!D44+[5]BS17A!D45</f>
        <v>0</v>
      </c>
      <c r="D154" s="40">
        <f>[5]BS17A!U44</f>
        <v>100</v>
      </c>
      <c r="E154" s="153">
        <f>+[5]BS17A!V44+[5]BS17A!V45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2937</v>
      </c>
      <c r="D155" s="151"/>
      <c r="E155" s="152">
        <f>SUM(E153:E154)</f>
        <v>2055900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239" t="s">
        <v>228</v>
      </c>
      <c r="B158" s="240"/>
      <c r="C158" s="240"/>
      <c r="D158" s="240"/>
      <c r="E158" s="241"/>
      <c r="F158" s="5"/>
    </row>
    <row r="159" spans="1:6" ht="47.25" customHeight="1" x14ac:dyDescent="0.2">
      <c r="A159" s="11" t="s">
        <v>8</v>
      </c>
      <c r="B159" s="11" t="s">
        <v>9</v>
      </c>
      <c r="C159" s="12" t="s">
        <v>10</v>
      </c>
      <c r="D159" s="13" t="s">
        <v>11</v>
      </c>
      <c r="E159" s="1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+[5]BS17A!$D1470</f>
        <v>0</v>
      </c>
      <c r="D160" s="37">
        <f>+[5]BS17A!$U1470</f>
        <v>38160</v>
      </c>
      <c r="E160" s="145">
        <f>+[5]BS17A!$V1470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+[5]BS17A!$D1471</f>
        <v>0</v>
      </c>
      <c r="D161" s="25">
        <f>+[5]BS17A!$U1471</f>
        <v>24000</v>
      </c>
      <c r="E161" s="146">
        <f>+[5]BS17A!$V1471</f>
        <v>0</v>
      </c>
      <c r="F161" s="8"/>
    </row>
    <row r="162" spans="1:6" ht="15" customHeight="1" x14ac:dyDescent="0.2">
      <c r="A162" s="22" t="s">
        <v>233</v>
      </c>
      <c r="B162" s="28" t="s">
        <v>234</v>
      </c>
      <c r="C162" s="155">
        <f>+[5]BS17A!$D1472</f>
        <v>0</v>
      </c>
      <c r="D162" s="25">
        <f>+[5]BS17A!$U1472</f>
        <v>24000</v>
      </c>
      <c r="E162" s="146">
        <f>+[5]BS17A!$V1472</f>
        <v>0</v>
      </c>
      <c r="F162" s="8"/>
    </row>
    <row r="163" spans="1:6" ht="15" customHeight="1" x14ac:dyDescent="0.2">
      <c r="A163" s="22" t="s">
        <v>235</v>
      </c>
      <c r="B163" s="156" t="s">
        <v>236</v>
      </c>
      <c r="C163" s="155">
        <f>+[5]BS17A!$D1473</f>
        <v>0</v>
      </c>
      <c r="D163" s="25">
        <f>+[5]BS17A!$U1473</f>
        <v>726900</v>
      </c>
      <c r="E163" s="146">
        <f>+[5]BS17A!$V1473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+[5]BS17A!$D1474</f>
        <v>0</v>
      </c>
      <c r="D164" s="25">
        <f>+[5]BS17A!$U1474</f>
        <v>515080</v>
      </c>
      <c r="E164" s="146">
        <f>+[5]BS17A!$V1474</f>
        <v>0</v>
      </c>
      <c r="F164" s="8"/>
    </row>
    <row r="165" spans="1:6" ht="15" customHeight="1" x14ac:dyDescent="0.2">
      <c r="A165" s="65" t="s">
        <v>239</v>
      </c>
      <c r="B165" s="138" t="s">
        <v>240</v>
      </c>
      <c r="C165" s="155">
        <f>+[5]BS17A!$D1475</f>
        <v>0</v>
      </c>
      <c r="D165" s="25">
        <f>+[5]BS17A!$U1475</f>
        <v>43850</v>
      </c>
      <c r="E165" s="146">
        <f>+[5]BS17A!$V1475</f>
        <v>0</v>
      </c>
      <c r="F165" s="8"/>
    </row>
    <row r="166" spans="1:6" ht="15" customHeight="1" x14ac:dyDescent="0.2">
      <c r="A166" s="129">
        <v>1901029</v>
      </c>
      <c r="B166" s="157" t="s">
        <v>241</v>
      </c>
      <c r="C166" s="158">
        <f>+[5]BS17A!$D1476</f>
        <v>0</v>
      </c>
      <c r="D166" s="40">
        <f>+[5]BS17A!$U1476</f>
        <v>591930</v>
      </c>
      <c r="E166" s="153">
        <f>+[5]BS17A!$V1476</f>
        <v>0</v>
      </c>
      <c r="F166" s="8"/>
    </row>
    <row r="167" spans="1:6" ht="15" customHeight="1" x14ac:dyDescent="0.2">
      <c r="A167" s="159"/>
      <c r="B167" s="160" t="s">
        <v>242</v>
      </c>
      <c r="C167" s="161">
        <f>SUM(C160:C166)</f>
        <v>0</v>
      </c>
      <c r="D167" s="162"/>
      <c r="E167" s="163">
        <f>SUM(E160:E166)</f>
        <v>0</v>
      </c>
      <c r="F167" s="8"/>
    </row>
    <row r="168" spans="1:6" ht="12.75" x14ac:dyDescent="0.2">
      <c r="A168" s="8"/>
      <c r="B168" s="8"/>
      <c r="C168" s="8"/>
      <c r="D168" s="8"/>
      <c r="E168" s="8"/>
      <c r="F168" s="8"/>
    </row>
    <row r="169" spans="1:6" ht="18" customHeight="1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256" t="s">
        <v>243</v>
      </c>
      <c r="B170" s="252"/>
      <c r="C170" s="252"/>
      <c r="D170" s="252"/>
      <c r="E170" s="253"/>
      <c r="F170" s="5"/>
    </row>
    <row r="171" spans="1:6" ht="35.25" customHeight="1" x14ac:dyDescent="0.2">
      <c r="A171" s="11" t="s">
        <v>8</v>
      </c>
      <c r="B171" s="11" t="s">
        <v>9</v>
      </c>
      <c r="C171" s="12" t="s">
        <v>10</v>
      </c>
      <c r="D171" s="13" t="s">
        <v>11</v>
      </c>
      <c r="E171" s="14" t="s">
        <v>12</v>
      </c>
      <c r="F171" s="8"/>
    </row>
    <row r="172" spans="1:6" ht="12.75" customHeight="1" x14ac:dyDescent="0.2">
      <c r="A172" s="164">
        <v>1101004</v>
      </c>
      <c r="B172" s="165" t="s">
        <v>244</v>
      </c>
      <c r="C172" s="19">
        <f>+[5]BS17A!$D801</f>
        <v>0</v>
      </c>
      <c r="D172" s="37">
        <f>+[5]BS17A!$U801</f>
        <v>13080</v>
      </c>
      <c r="E172" s="145">
        <f>+[5]BS17A!$V801</f>
        <v>0</v>
      </c>
      <c r="F172" s="8"/>
    </row>
    <row r="173" spans="1:6" ht="12.75" customHeight="1" x14ac:dyDescent="0.2">
      <c r="A173" s="104">
        <v>1101006</v>
      </c>
      <c r="B173" s="166" t="s">
        <v>245</v>
      </c>
      <c r="C173" s="24">
        <f>+[5]BS17A!$D802</f>
        <v>12</v>
      </c>
      <c r="D173" s="25">
        <f>+[5]BS17A!$U802</f>
        <v>10470</v>
      </c>
      <c r="E173" s="146">
        <f>+[5]BS17A!$V802</f>
        <v>125640</v>
      </c>
      <c r="F173" s="8"/>
    </row>
    <row r="174" spans="1:6" ht="24.75" customHeight="1" x14ac:dyDescent="0.2">
      <c r="A174" s="104" t="s">
        <v>246</v>
      </c>
      <c r="B174" s="167" t="s">
        <v>247</v>
      </c>
      <c r="C174" s="24">
        <f>+[5]BS17A!$D1186</f>
        <v>788</v>
      </c>
      <c r="D174" s="25">
        <f>+[5]BS17A!$U1186</f>
        <v>4480</v>
      </c>
      <c r="E174" s="146">
        <f>+[5]BS17A!$V1186</f>
        <v>3530240</v>
      </c>
      <c r="F174" s="8"/>
    </row>
    <row r="175" spans="1:6" ht="24.75" customHeight="1" x14ac:dyDescent="0.2">
      <c r="A175" s="104" t="s">
        <v>248</v>
      </c>
      <c r="B175" s="167" t="s">
        <v>249</v>
      </c>
      <c r="C175" s="24">
        <f>+[5]BS17A!$D1187</f>
        <v>15</v>
      </c>
      <c r="D175" s="25">
        <f>+[5]BS17A!$U1187</f>
        <v>12640</v>
      </c>
      <c r="E175" s="146">
        <f>+[5]BS17A!$V1187</f>
        <v>189600</v>
      </c>
      <c r="F175" s="8"/>
    </row>
    <row r="176" spans="1:6" ht="24.75" customHeight="1" x14ac:dyDescent="0.2">
      <c r="A176" s="104" t="s">
        <v>250</v>
      </c>
      <c r="B176" s="167" t="s">
        <v>251</v>
      </c>
      <c r="C176" s="24">
        <f>+[5]BS17A!$D1188</f>
        <v>35</v>
      </c>
      <c r="D176" s="25">
        <f>+[5]BS17A!$U1188</f>
        <v>21430</v>
      </c>
      <c r="E176" s="146">
        <f>+[5]BS17A!$V1188</f>
        <v>750050</v>
      </c>
      <c r="F176" s="8"/>
    </row>
    <row r="177" spans="1:6" ht="12.75" customHeight="1" x14ac:dyDescent="0.2">
      <c r="A177" s="104" t="s">
        <v>252</v>
      </c>
      <c r="B177" s="167" t="s">
        <v>253</v>
      </c>
      <c r="C177" s="24">
        <f>+[5]BS17A!$D1189</f>
        <v>0</v>
      </c>
      <c r="D177" s="25">
        <f>+[5]BS17A!$U1189</f>
        <v>40910</v>
      </c>
      <c r="E177" s="146">
        <f>+[5]BS17A!$V1189</f>
        <v>0</v>
      </c>
      <c r="F177" s="8"/>
    </row>
    <row r="178" spans="1:6" ht="12.75" customHeight="1" x14ac:dyDescent="0.2">
      <c r="A178" s="104" t="s">
        <v>254</v>
      </c>
      <c r="B178" s="167" t="s">
        <v>255</v>
      </c>
      <c r="C178" s="24">
        <f>+[5]BS17A!$D1190</f>
        <v>63</v>
      </c>
      <c r="D178" s="25">
        <f>+[5]BS17A!$U1190</f>
        <v>45600</v>
      </c>
      <c r="E178" s="146">
        <f>+[5]BS17A!$V1190</f>
        <v>2872800</v>
      </c>
      <c r="F178" s="8"/>
    </row>
    <row r="179" spans="1:6" ht="24.75" customHeight="1" x14ac:dyDescent="0.2">
      <c r="A179" s="104" t="s">
        <v>256</v>
      </c>
      <c r="B179" s="167" t="s">
        <v>257</v>
      </c>
      <c r="C179" s="24">
        <f>+[5]BS17A!$D1191</f>
        <v>0</v>
      </c>
      <c r="D179" s="25">
        <f>+[5]BS17A!$U1191</f>
        <v>25580</v>
      </c>
      <c r="E179" s="146">
        <f>+[5]BS17A!$V1191</f>
        <v>0</v>
      </c>
      <c r="F179" s="8"/>
    </row>
    <row r="180" spans="1:6" ht="12.75" customHeight="1" x14ac:dyDescent="0.2">
      <c r="A180" s="104" t="s">
        <v>258</v>
      </c>
      <c r="B180" s="156" t="s">
        <v>259</v>
      </c>
      <c r="C180" s="24">
        <f>+[5]BS17A!$D1192</f>
        <v>0</v>
      </c>
      <c r="D180" s="25">
        <f>+[5]BS17A!$U1192</f>
        <v>197910</v>
      </c>
      <c r="E180" s="146">
        <f>+[5]BS17A!$V1192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24">
        <f>+[5]BS17A!$D1193</f>
        <v>0</v>
      </c>
      <c r="D181" s="25">
        <f>+[5]BS17A!$U1193</f>
        <v>224990</v>
      </c>
      <c r="E181" s="146">
        <f>+[5]BS17A!$V1193</f>
        <v>0</v>
      </c>
      <c r="F181" s="8"/>
    </row>
    <row r="182" spans="1:6" ht="12.75" customHeight="1" x14ac:dyDescent="0.2">
      <c r="A182" s="104" t="s">
        <v>262</v>
      </c>
      <c r="B182" s="167" t="s">
        <v>263</v>
      </c>
      <c r="C182" s="24">
        <f>+[5]BS17A!$D1194</f>
        <v>0</v>
      </c>
      <c r="D182" s="25">
        <f>+[5]BS17A!$U1194</f>
        <v>183470</v>
      </c>
      <c r="E182" s="146">
        <f>+[5]BS17A!$V1194</f>
        <v>0</v>
      </c>
      <c r="F182" s="8"/>
    </row>
    <row r="183" spans="1:6" ht="24.75" customHeight="1" x14ac:dyDescent="0.2">
      <c r="A183" s="104" t="s">
        <v>264</v>
      </c>
      <c r="B183" s="156" t="s">
        <v>265</v>
      </c>
      <c r="C183" s="24">
        <f>+[5]BS17A!$D1195</f>
        <v>0</v>
      </c>
      <c r="D183" s="25">
        <f>+[5]BS17A!$U1195</f>
        <v>235660</v>
      </c>
      <c r="E183" s="146">
        <f>+[5]BS17A!$V1195</f>
        <v>0</v>
      </c>
      <c r="F183" s="8"/>
    </row>
    <row r="184" spans="1:6" ht="24.75" customHeight="1" x14ac:dyDescent="0.2">
      <c r="A184" s="104" t="s">
        <v>266</v>
      </c>
      <c r="B184" s="156" t="s">
        <v>267</v>
      </c>
      <c r="C184" s="24">
        <f>+[5]BS17A!$D1196</f>
        <v>0</v>
      </c>
      <c r="D184" s="25">
        <f>+[5]BS17A!$U1196</f>
        <v>241140</v>
      </c>
      <c r="E184" s="146">
        <f>+[5]BS17A!$V1196</f>
        <v>0</v>
      </c>
      <c r="F184" s="8"/>
    </row>
    <row r="185" spans="1:6" ht="24.75" customHeight="1" x14ac:dyDescent="0.2">
      <c r="A185" s="104" t="s">
        <v>268</v>
      </c>
      <c r="B185" s="156" t="s">
        <v>269</v>
      </c>
      <c r="C185" s="24">
        <f>+[5]BS17A!$D1197</f>
        <v>0</v>
      </c>
      <c r="D185" s="25">
        <f>+[5]BS17A!$U1197</f>
        <v>203920</v>
      </c>
      <c r="E185" s="146">
        <f>+[5]BS17A!$V1197</f>
        <v>0</v>
      </c>
      <c r="F185" s="8"/>
    </row>
    <row r="186" spans="1:6" ht="12.75" customHeight="1" x14ac:dyDescent="0.2">
      <c r="A186" s="104" t="s">
        <v>270</v>
      </c>
      <c r="B186" s="156" t="s">
        <v>271</v>
      </c>
      <c r="C186" s="24">
        <f>+[5]BS17A!$D1198</f>
        <v>0</v>
      </c>
      <c r="D186" s="25">
        <f>+[5]BS17A!$U1198</f>
        <v>217670</v>
      </c>
      <c r="E186" s="146">
        <f>+[5]BS17A!$V1198</f>
        <v>0</v>
      </c>
      <c r="F186" s="8"/>
    </row>
    <row r="187" spans="1:6" ht="12.75" customHeight="1" x14ac:dyDescent="0.2">
      <c r="A187" s="104" t="s">
        <v>272</v>
      </c>
      <c r="B187" s="156" t="s">
        <v>273</v>
      </c>
      <c r="C187" s="24">
        <f>+[5]BS17A!$D1199</f>
        <v>0</v>
      </c>
      <c r="D187" s="25">
        <f>+[5]BS17A!$U1199</f>
        <v>260270</v>
      </c>
      <c r="E187" s="146">
        <f>+[5]BS17A!$V1199</f>
        <v>0</v>
      </c>
      <c r="F187" s="8"/>
    </row>
    <row r="188" spans="1:6" ht="24.75" customHeight="1" x14ac:dyDescent="0.2">
      <c r="A188" s="104" t="s">
        <v>274</v>
      </c>
      <c r="B188" s="167" t="s">
        <v>275</v>
      </c>
      <c r="C188" s="24">
        <f>+[5]BS17A!$D1200</f>
        <v>0</v>
      </c>
      <c r="D188" s="25">
        <f>+[5]BS17A!$U1200</f>
        <v>230810</v>
      </c>
      <c r="E188" s="146">
        <f>+[5]BS17A!$V1200</f>
        <v>0</v>
      </c>
      <c r="F188" s="8"/>
    </row>
    <row r="189" spans="1:6" ht="24.75" customHeight="1" x14ac:dyDescent="0.2">
      <c r="A189" s="104" t="s">
        <v>276</v>
      </c>
      <c r="B189" s="156" t="s">
        <v>277</v>
      </c>
      <c r="C189" s="24">
        <f>+[5]BS17A!$D1201</f>
        <v>0</v>
      </c>
      <c r="D189" s="25">
        <f>+[5]BS17A!$U1201</f>
        <v>1689070</v>
      </c>
      <c r="E189" s="146">
        <f>+[5]BS17A!$V1201</f>
        <v>0</v>
      </c>
      <c r="F189" s="8"/>
    </row>
    <row r="190" spans="1:6" ht="12.75" customHeight="1" x14ac:dyDescent="0.2">
      <c r="A190" s="104" t="s">
        <v>278</v>
      </c>
      <c r="B190" s="156" t="s">
        <v>279</v>
      </c>
      <c r="C190" s="24">
        <f>+[5]BS17A!$D1202</f>
        <v>0</v>
      </c>
      <c r="D190" s="25">
        <f>+[5]BS17A!$U1202</f>
        <v>1054990</v>
      </c>
      <c r="E190" s="146">
        <f>+[5]BS17A!$V1202</f>
        <v>0</v>
      </c>
      <c r="F190" s="8"/>
    </row>
    <row r="191" spans="1:6" ht="12.75" customHeight="1" x14ac:dyDescent="0.2">
      <c r="A191" s="22" t="s">
        <v>280</v>
      </c>
      <c r="B191" s="156" t="s">
        <v>281</v>
      </c>
      <c r="C191" s="24">
        <f>+[5]BS17A!$D1203</f>
        <v>0</v>
      </c>
      <c r="D191" s="25">
        <f>+[5]BS17A!$U1203</f>
        <v>1021110</v>
      </c>
      <c r="E191" s="146">
        <f>+[5]BS17A!$V1203</f>
        <v>0</v>
      </c>
      <c r="F191" s="8"/>
    </row>
    <row r="192" spans="1:6" ht="24.75" customHeight="1" x14ac:dyDescent="0.2">
      <c r="A192" s="104" t="s">
        <v>282</v>
      </c>
      <c r="B192" s="156" t="s">
        <v>283</v>
      </c>
      <c r="C192" s="24">
        <f>+[5]BS17A!$D1204</f>
        <v>0</v>
      </c>
      <c r="D192" s="25">
        <f>+[5]BS17A!$U1204</f>
        <v>1069740</v>
      </c>
      <c r="E192" s="146">
        <f>+[5]BS17A!$V1204</f>
        <v>0</v>
      </c>
      <c r="F192" s="8"/>
    </row>
    <row r="193" spans="1:6" ht="12.75" customHeight="1" x14ac:dyDescent="0.2">
      <c r="A193" s="22" t="s">
        <v>284</v>
      </c>
      <c r="B193" s="156" t="s">
        <v>285</v>
      </c>
      <c r="C193" s="24">
        <f>+[5]BS17A!$D1205</f>
        <v>0</v>
      </c>
      <c r="D193" s="25">
        <f>+[5]BS17A!$U1205</f>
        <v>151380</v>
      </c>
      <c r="E193" s="146">
        <f>+[5]BS17A!$V1205</f>
        <v>0</v>
      </c>
      <c r="F193" s="8"/>
    </row>
    <row r="194" spans="1:6" ht="12.75" customHeight="1" x14ac:dyDescent="0.2">
      <c r="A194" s="22" t="s">
        <v>286</v>
      </c>
      <c r="B194" s="156" t="s">
        <v>287</v>
      </c>
      <c r="C194" s="24">
        <f>+[5]BS17A!$D1206</f>
        <v>0</v>
      </c>
      <c r="D194" s="25">
        <f>+[5]BS17A!$U1206</f>
        <v>345440</v>
      </c>
      <c r="E194" s="146">
        <f>+[5]BS17A!$V1206</f>
        <v>0</v>
      </c>
      <c r="F194" s="8"/>
    </row>
    <row r="195" spans="1:6" ht="12.75" customHeight="1" x14ac:dyDescent="0.2">
      <c r="A195" s="104" t="s">
        <v>288</v>
      </c>
      <c r="B195" s="156" t="s">
        <v>289</v>
      </c>
      <c r="C195" s="24">
        <f>+[5]BS17A!$D1207</f>
        <v>0</v>
      </c>
      <c r="D195" s="25">
        <f>+[5]BS17A!$U1207</f>
        <v>128060</v>
      </c>
      <c r="E195" s="146">
        <f>+[5]BS17A!$V1207</f>
        <v>0</v>
      </c>
      <c r="F195" s="8"/>
    </row>
    <row r="196" spans="1:6" ht="12.75" customHeight="1" x14ac:dyDescent="0.2">
      <c r="A196" s="104" t="s">
        <v>290</v>
      </c>
      <c r="B196" s="156" t="s">
        <v>291</v>
      </c>
      <c r="C196" s="24">
        <f>+[5]BS17A!$D1208</f>
        <v>0</v>
      </c>
      <c r="D196" s="25">
        <f>+[5]BS17A!$U1208</f>
        <v>1037610</v>
      </c>
      <c r="E196" s="146">
        <f>+[5]BS17A!$V1208</f>
        <v>0</v>
      </c>
      <c r="F196" s="8"/>
    </row>
    <row r="197" spans="1:6" ht="12.75" customHeight="1" x14ac:dyDescent="0.2">
      <c r="A197" s="104" t="s">
        <v>292</v>
      </c>
      <c r="B197" s="156" t="s">
        <v>293</v>
      </c>
      <c r="C197" s="24">
        <f>+[5]BS17A!$D1209</f>
        <v>0</v>
      </c>
      <c r="D197" s="25">
        <f>+[5]BS17A!$U1209</f>
        <v>1037610</v>
      </c>
      <c r="E197" s="146">
        <f>+[5]BS17A!$V1209</f>
        <v>0</v>
      </c>
      <c r="F197" s="8"/>
    </row>
    <row r="198" spans="1:6" ht="12.75" customHeight="1" x14ac:dyDescent="0.2">
      <c r="A198" s="104">
        <v>1801001</v>
      </c>
      <c r="B198" s="166" t="s">
        <v>294</v>
      </c>
      <c r="C198" s="24">
        <f>+[5]BS17A!$D1343</f>
        <v>32</v>
      </c>
      <c r="D198" s="25">
        <f>+[5]BS17A!$U1343</f>
        <v>30950</v>
      </c>
      <c r="E198" s="146">
        <f>+[5]BS17A!$V1343</f>
        <v>990400</v>
      </c>
      <c r="F198" s="8"/>
    </row>
    <row r="199" spans="1:6" ht="12.75" customHeight="1" x14ac:dyDescent="0.2">
      <c r="A199" s="104">
        <v>1801003</v>
      </c>
      <c r="B199" s="156" t="s">
        <v>295</v>
      </c>
      <c r="C199" s="24">
        <f>+[5]BS17A!$D1344</f>
        <v>0</v>
      </c>
      <c r="D199" s="25">
        <f>+[5]BS17A!$U1344</f>
        <v>37330</v>
      </c>
      <c r="E199" s="146">
        <f>+[5]BS17A!$V1344</f>
        <v>0</v>
      </c>
      <c r="F199" s="8"/>
    </row>
    <row r="200" spans="1:6" ht="12.75" customHeight="1" x14ac:dyDescent="0.2">
      <c r="A200" s="104">
        <v>1801006</v>
      </c>
      <c r="B200" s="166" t="s">
        <v>296</v>
      </c>
      <c r="C200" s="24">
        <f>+[5]BS17A!$D1345</f>
        <v>6</v>
      </c>
      <c r="D200" s="25">
        <f>+[5]BS17A!$U1345</f>
        <v>39760</v>
      </c>
      <c r="E200" s="146">
        <f>+[5]BS17A!$V1345</f>
        <v>238560</v>
      </c>
      <c r="F200" s="8"/>
    </row>
    <row r="201" spans="1:6" ht="24.75" customHeight="1" x14ac:dyDescent="0.2">
      <c r="A201" s="104" t="s">
        <v>297</v>
      </c>
      <c r="B201" s="166" t="s">
        <v>298</v>
      </c>
      <c r="C201" s="24">
        <f>[5]BS17A!D1032</f>
        <v>0</v>
      </c>
      <c r="D201" s="25">
        <f>[5]BS17A!U1032</f>
        <v>8370</v>
      </c>
      <c r="E201" s="146">
        <f>[5]BS17A!V1032</f>
        <v>0</v>
      </c>
      <c r="F201" s="8"/>
    </row>
    <row r="202" spans="1:6" ht="24.75" customHeight="1" x14ac:dyDescent="0.2">
      <c r="A202" s="168" t="s">
        <v>299</v>
      </c>
      <c r="B202" s="169" t="s">
        <v>300</v>
      </c>
      <c r="C202" s="88">
        <f>[5]BS17A!D803</f>
        <v>0</v>
      </c>
      <c r="D202" s="170">
        <f>[5]BS17A!U803</f>
        <v>355150</v>
      </c>
      <c r="E202" s="171">
        <f>[5]BS17A!V803</f>
        <v>0</v>
      </c>
      <c r="F202" s="8"/>
    </row>
    <row r="203" spans="1:6" ht="17.25" customHeight="1" x14ac:dyDescent="0.2">
      <c r="A203" s="130"/>
      <c r="B203" s="131" t="s">
        <v>301</v>
      </c>
      <c r="C203" s="44">
        <f>SUM(C172:C202)</f>
        <v>951</v>
      </c>
      <c r="D203" s="151"/>
      <c r="E203" s="152">
        <f>SUM(E172:E202)</f>
        <v>8697290</v>
      </c>
      <c r="F203" s="8"/>
    </row>
    <row r="204" spans="1:6" ht="21.75" customHeight="1" x14ac:dyDescent="0.2">
      <c r="A204" s="8"/>
      <c r="B204" s="8"/>
      <c r="C204" s="8"/>
      <c r="D204" s="8"/>
      <c r="E204" s="8"/>
      <c r="F204" s="8"/>
    </row>
    <row r="205" spans="1:6" ht="19.5" customHeight="1" x14ac:dyDescent="0.2">
      <c r="A205" s="8"/>
      <c r="B205" s="8"/>
      <c r="C205" s="8"/>
      <c r="D205" s="8"/>
      <c r="E205" s="8"/>
      <c r="F205" s="8"/>
    </row>
    <row r="206" spans="1:6" ht="18" customHeight="1" x14ac:dyDescent="0.2">
      <c r="A206" s="256" t="s">
        <v>302</v>
      </c>
      <c r="B206" s="252"/>
      <c r="C206" s="252"/>
      <c r="D206" s="252"/>
      <c r="E206" s="253"/>
      <c r="F206" s="5"/>
    </row>
    <row r="207" spans="1:6" ht="39.75" customHeight="1" x14ac:dyDescent="0.2">
      <c r="A207" s="11" t="s">
        <v>8</v>
      </c>
      <c r="B207" s="11" t="s">
        <v>9</v>
      </c>
      <c r="C207" s="12" t="s">
        <v>10</v>
      </c>
      <c r="D207" s="13" t="s">
        <v>11</v>
      </c>
      <c r="E207" s="14" t="s">
        <v>12</v>
      </c>
      <c r="F207" s="5"/>
    </row>
    <row r="208" spans="1:6" ht="12.75" customHeight="1" x14ac:dyDescent="0.2">
      <c r="A208" s="17" t="s">
        <v>303</v>
      </c>
      <c r="B208" s="42" t="s">
        <v>304</v>
      </c>
      <c r="C208" s="19">
        <f>+[5]BS17A!$D18</f>
        <v>0</v>
      </c>
      <c r="D208" s="37">
        <f>+[5]BS17A!$U18</f>
        <v>12950</v>
      </c>
      <c r="E208" s="145">
        <f>+[5]BS17A!$V18</f>
        <v>0</v>
      </c>
      <c r="F208" s="8"/>
    </row>
    <row r="209" spans="1:6" ht="12.75" customHeight="1" x14ac:dyDescent="0.2">
      <c r="A209" s="22" t="s">
        <v>305</v>
      </c>
      <c r="B209" s="23" t="s">
        <v>306</v>
      </c>
      <c r="C209" s="24">
        <f>+[5]BS17A!$D19</f>
        <v>76</v>
      </c>
      <c r="D209" s="25">
        <f>+[5]BS17A!$U19</f>
        <v>12950</v>
      </c>
      <c r="E209" s="146">
        <f>+[5]BS17A!$V19</f>
        <v>984200</v>
      </c>
      <c r="F209" s="8"/>
    </row>
    <row r="210" spans="1:6" ht="12.75" customHeight="1" x14ac:dyDescent="0.2">
      <c r="A210" s="22" t="s">
        <v>307</v>
      </c>
      <c r="B210" s="28" t="s">
        <v>308</v>
      </c>
      <c r="C210" s="24">
        <f>+[5]BS17A!$D47</f>
        <v>0</v>
      </c>
      <c r="D210" s="25">
        <f>+[5]BS17A!$U47</f>
        <v>1240</v>
      </c>
      <c r="E210" s="146">
        <f>+[5]BS17A!$V47</f>
        <v>0</v>
      </c>
      <c r="F210" s="8"/>
    </row>
    <row r="211" spans="1:6" ht="12.75" customHeight="1" x14ac:dyDescent="0.2">
      <c r="A211" s="22" t="s">
        <v>309</v>
      </c>
      <c r="B211" s="28" t="s">
        <v>310</v>
      </c>
      <c r="C211" s="24">
        <f>+[5]BS17A!$D48</f>
        <v>432</v>
      </c>
      <c r="D211" s="25">
        <f>+[5]BS17A!$U48</f>
        <v>600</v>
      </c>
      <c r="E211" s="146">
        <f>+[5]BS17A!$V48</f>
        <v>259200</v>
      </c>
      <c r="F211" s="8"/>
    </row>
    <row r="212" spans="1:6" ht="12.75" customHeight="1" x14ac:dyDescent="0.2">
      <c r="A212" s="22" t="s">
        <v>311</v>
      </c>
      <c r="B212" s="23" t="s">
        <v>312</v>
      </c>
      <c r="C212" s="24">
        <f>+[5]BS17A!$D49</f>
        <v>928</v>
      </c>
      <c r="D212" s="25">
        <f>+[5]BS17A!$U49</f>
        <v>1840</v>
      </c>
      <c r="E212" s="146">
        <f>+[5]BS17A!$V49</f>
        <v>1707520</v>
      </c>
      <c r="F212" s="8"/>
    </row>
    <row r="213" spans="1:6" ht="12.75" customHeight="1" x14ac:dyDescent="0.2">
      <c r="A213" s="22" t="s">
        <v>313</v>
      </c>
      <c r="B213" s="23" t="s">
        <v>314</v>
      </c>
      <c r="C213" s="24">
        <f>+[5]BS17A!$D50</f>
        <v>43</v>
      </c>
      <c r="D213" s="25">
        <f>+[5]BS17A!$U50</f>
        <v>13790</v>
      </c>
      <c r="E213" s="146">
        <f>+[5]BS17A!$V50</f>
        <v>592970</v>
      </c>
      <c r="F213" s="8"/>
    </row>
    <row r="214" spans="1:6" ht="12.75" customHeight="1" x14ac:dyDescent="0.2">
      <c r="A214" s="22" t="s">
        <v>315</v>
      </c>
      <c r="B214" s="28" t="s">
        <v>316</v>
      </c>
      <c r="C214" s="24">
        <f>+[5]BS17A!$D51</f>
        <v>84</v>
      </c>
      <c r="D214" s="25">
        <f>+[5]BS17A!$U51</f>
        <v>31670</v>
      </c>
      <c r="E214" s="146">
        <f>+[5]BS17A!$V51</f>
        <v>2660280</v>
      </c>
      <c r="F214" s="8"/>
    </row>
    <row r="215" spans="1:6" ht="12.75" customHeight="1" x14ac:dyDescent="0.2">
      <c r="A215" s="104" t="s">
        <v>317</v>
      </c>
      <c r="B215" s="28" t="s">
        <v>318</v>
      </c>
      <c r="C215" s="24">
        <f>+[5]BS17A!D52</f>
        <v>16</v>
      </c>
      <c r="D215" s="172"/>
      <c r="E215" s="146">
        <f>+[5]BS17A!V52</f>
        <v>126400</v>
      </c>
      <c r="F215" s="8"/>
    </row>
    <row r="216" spans="1:6" ht="12.75" customHeight="1" x14ac:dyDescent="0.2">
      <c r="A216" s="29" t="s">
        <v>319</v>
      </c>
      <c r="B216" s="43" t="s">
        <v>320</v>
      </c>
      <c r="C216" s="31">
        <f>+[5]BS17A!$D1849</f>
        <v>64</v>
      </c>
      <c r="D216" s="40">
        <f>+[5]BS17A!$U1849</f>
        <v>25670</v>
      </c>
      <c r="E216" s="153">
        <f>+[5]BS17A!$V1849</f>
        <v>1642880</v>
      </c>
      <c r="F216" s="8"/>
    </row>
    <row r="217" spans="1:6" ht="12.75" x14ac:dyDescent="0.2">
      <c r="A217" s="130"/>
      <c r="B217" s="131" t="s">
        <v>321</v>
      </c>
      <c r="C217" s="44">
        <f>SUM(C208:C216)</f>
        <v>1643</v>
      </c>
      <c r="D217" s="151"/>
      <c r="E217" s="171">
        <f>SUM(E208:E216)</f>
        <v>7973450</v>
      </c>
      <c r="F217" s="8"/>
    </row>
    <row r="218" spans="1:6" ht="17.25" customHeight="1" x14ac:dyDescent="0.2">
      <c r="A218" s="8"/>
      <c r="B218" s="8"/>
      <c r="C218" s="8"/>
      <c r="D218" s="8"/>
      <c r="E218" s="8"/>
      <c r="F218" s="8"/>
    </row>
    <row r="219" spans="1:6" ht="18" customHeight="1" x14ac:dyDescent="0.2">
      <c r="A219" s="8"/>
      <c r="B219" s="8"/>
      <c r="C219" s="8"/>
      <c r="D219" s="8"/>
      <c r="E219" s="8"/>
      <c r="F219" s="8"/>
    </row>
    <row r="220" spans="1:6" ht="27.75" customHeight="1" x14ac:dyDescent="0.2">
      <c r="A220" s="257" t="s">
        <v>322</v>
      </c>
      <c r="B220" s="258"/>
      <c r="C220" s="259"/>
      <c r="D220" s="8"/>
      <c r="E220" s="8"/>
      <c r="F220" s="5"/>
    </row>
    <row r="221" spans="1:6" ht="36.75" customHeight="1" x14ac:dyDescent="0.2">
      <c r="A221" s="11" t="s">
        <v>8</v>
      </c>
      <c r="B221" s="11" t="s">
        <v>10</v>
      </c>
      <c r="C221" s="11" t="s">
        <v>12</v>
      </c>
      <c r="D221" s="5"/>
      <c r="E221" s="8"/>
      <c r="F221" s="8"/>
    </row>
    <row r="222" spans="1:6" ht="15" customHeight="1" x14ac:dyDescent="0.2">
      <c r="A222" s="17" t="s">
        <v>323</v>
      </c>
      <c r="B222" s="173" t="s">
        <v>324</v>
      </c>
      <c r="C222" s="174"/>
      <c r="D222" s="175"/>
      <c r="E222" s="8"/>
      <c r="F222" s="8"/>
    </row>
    <row r="223" spans="1:6" ht="15" customHeight="1" x14ac:dyDescent="0.2">
      <c r="A223" s="176" t="s">
        <v>325</v>
      </c>
      <c r="B223" s="177" t="s">
        <v>326</v>
      </c>
      <c r="C223" s="178"/>
      <c r="D223" s="175"/>
      <c r="E223" s="8"/>
      <c r="F223" s="8"/>
    </row>
    <row r="224" spans="1:6" ht="18" customHeight="1" x14ac:dyDescent="0.2">
      <c r="A224" s="179"/>
      <c r="B224" s="180" t="s">
        <v>327</v>
      </c>
      <c r="C224" s="181">
        <f>SUM(C222:C223)</f>
        <v>0</v>
      </c>
      <c r="D224" s="175"/>
      <c r="E224" s="8"/>
      <c r="F224" s="8"/>
    </row>
    <row r="225" spans="1:7" ht="18" customHeight="1" x14ac:dyDescent="0.2">
      <c r="A225" s="8"/>
      <c r="B225" s="8"/>
      <c r="C225" s="8"/>
      <c r="D225" s="175"/>
      <c r="E225" s="175"/>
      <c r="F225" s="175"/>
    </row>
    <row r="226" spans="1:7" ht="18" customHeight="1" x14ac:dyDescent="0.2">
      <c r="A226" s="8"/>
      <c r="B226" s="8"/>
      <c r="C226" s="8"/>
      <c r="D226" s="8"/>
      <c r="E226" s="8"/>
      <c r="F226" s="175"/>
      <c r="G226" s="182"/>
    </row>
    <row r="227" spans="1:7" ht="18" customHeight="1" x14ac:dyDescent="0.2">
      <c r="A227" s="256" t="s">
        <v>328</v>
      </c>
      <c r="B227" s="252"/>
      <c r="C227" s="252"/>
      <c r="D227" s="252"/>
      <c r="E227" s="253"/>
      <c r="F227" s="175"/>
      <c r="G227" s="182"/>
    </row>
    <row r="228" spans="1:7" ht="64.5" customHeight="1" x14ac:dyDescent="0.2">
      <c r="A228" s="11" t="s">
        <v>8</v>
      </c>
      <c r="B228" s="11" t="s">
        <v>9</v>
      </c>
      <c r="C228" s="12" t="s">
        <v>10</v>
      </c>
      <c r="D228" s="13" t="s">
        <v>11</v>
      </c>
      <c r="E228" s="14" t="s">
        <v>12</v>
      </c>
      <c r="F228" s="175"/>
      <c r="G228" s="182"/>
    </row>
    <row r="229" spans="1:7" ht="15" customHeight="1" x14ac:dyDescent="0.2">
      <c r="A229" s="17" t="s">
        <v>329</v>
      </c>
      <c r="B229" s="42" t="s">
        <v>330</v>
      </c>
      <c r="C229" s="154">
        <f>+[5]BS17A!$D1920</f>
        <v>270</v>
      </c>
      <c r="D229" s="37">
        <f>+[5]BS17A!$U1920</f>
        <v>17720</v>
      </c>
      <c r="E229" s="145">
        <f>+[5]BS17A!$V1920</f>
        <v>4784400</v>
      </c>
      <c r="F229" s="8"/>
    </row>
    <row r="230" spans="1:7" ht="15" customHeight="1" x14ac:dyDescent="0.2">
      <c r="A230" s="29" t="s">
        <v>331</v>
      </c>
      <c r="B230" s="43" t="s">
        <v>332</v>
      </c>
      <c r="C230" s="158">
        <f>+[5]BS17A!$D1921</f>
        <v>0</v>
      </c>
      <c r="D230" s="40">
        <f>+[5]BS17A!$U1921</f>
        <v>222170</v>
      </c>
      <c r="E230" s="153">
        <f>+[5]BS17A!$V1921</f>
        <v>0</v>
      </c>
      <c r="F230" s="8"/>
    </row>
    <row r="231" spans="1:7" ht="18" customHeight="1" x14ac:dyDescent="0.2">
      <c r="A231" s="130"/>
      <c r="B231" s="131" t="s">
        <v>333</v>
      </c>
      <c r="C231" s="44">
        <f>SUM(C229:C230)</f>
        <v>270</v>
      </c>
      <c r="D231" s="151"/>
      <c r="E231" s="152">
        <f>SUM(E229:E230)</f>
        <v>4784400</v>
      </c>
      <c r="F231" s="8"/>
    </row>
    <row r="232" spans="1:7" ht="18" customHeight="1" x14ac:dyDescent="0.2">
      <c r="A232" s="183"/>
      <c r="B232" s="184"/>
      <c r="C232" s="185"/>
      <c r="D232" s="183"/>
      <c r="E232" s="183"/>
      <c r="F232" s="8"/>
    </row>
    <row r="233" spans="1:7" ht="18" customHeight="1" x14ac:dyDescent="0.2">
      <c r="A233" s="183"/>
      <c r="B233" s="184"/>
      <c r="C233" s="185"/>
      <c r="D233" s="183"/>
      <c r="E233" s="183"/>
      <c r="F233" s="8"/>
    </row>
    <row r="234" spans="1:7" ht="18" customHeight="1" x14ac:dyDescent="0.2">
      <c r="A234" s="251" t="s">
        <v>334</v>
      </c>
      <c r="B234" s="252"/>
      <c r="C234" s="252"/>
      <c r="D234" s="252"/>
      <c r="E234" s="253"/>
      <c r="F234" s="8"/>
    </row>
    <row r="235" spans="1:7" ht="38.25" x14ac:dyDescent="0.2">
      <c r="A235" s="11" t="s">
        <v>8</v>
      </c>
      <c r="B235" s="11" t="s">
        <v>9</v>
      </c>
      <c r="C235" s="12" t="s">
        <v>10</v>
      </c>
      <c r="D235" s="13" t="s">
        <v>11</v>
      </c>
      <c r="E235" s="14" t="s">
        <v>12</v>
      </c>
      <c r="F235" s="8"/>
    </row>
    <row r="236" spans="1:7" ht="18" customHeight="1" x14ac:dyDescent="0.2">
      <c r="A236" s="142" t="s">
        <v>335</v>
      </c>
      <c r="B236" s="186" t="s">
        <v>336</v>
      </c>
      <c r="C236" s="187">
        <f>[5]BS17A!D764</f>
        <v>358</v>
      </c>
      <c r="D236" s="188"/>
      <c r="E236" s="189">
        <f>[5]BS17A!V764</f>
        <v>2253160</v>
      </c>
      <c r="F236" s="8"/>
    </row>
    <row r="237" spans="1:7" ht="18" customHeight="1" x14ac:dyDescent="0.2">
      <c r="A237" s="183"/>
      <c r="B237" s="184"/>
      <c r="C237" s="185"/>
      <c r="D237" s="183"/>
      <c r="E237" s="183"/>
      <c r="F237" s="8"/>
    </row>
    <row r="238" spans="1:7" ht="18" customHeight="1" x14ac:dyDescent="0.2">
      <c r="A238" s="251" t="s">
        <v>337</v>
      </c>
      <c r="B238" s="254"/>
      <c r="C238" s="254"/>
      <c r="D238" s="254"/>
      <c r="E238" s="255"/>
      <c r="F238" s="8"/>
    </row>
    <row r="239" spans="1:7" ht="41.25" customHeight="1" x14ac:dyDescent="0.2">
      <c r="A239" s="11" t="s">
        <v>8</v>
      </c>
      <c r="B239" s="12" t="s">
        <v>338</v>
      </c>
      <c r="C239" s="100" t="s">
        <v>339</v>
      </c>
      <c r="D239" s="13" t="s">
        <v>11</v>
      </c>
      <c r="E239" s="14" t="s">
        <v>12</v>
      </c>
      <c r="F239" s="8"/>
    </row>
    <row r="240" spans="1:7" ht="15" customHeight="1" x14ac:dyDescent="0.2">
      <c r="A240" s="190" t="s">
        <v>340</v>
      </c>
      <c r="B240" s="191" t="s">
        <v>341</v>
      </c>
      <c r="C240" s="19">
        <f>+[5]BS17A!$D1923</f>
        <v>0</v>
      </c>
      <c r="D240" s="37">
        <f>+[5]BS17A!$U1923</f>
        <v>226920</v>
      </c>
      <c r="E240" s="145">
        <f>+[5]BS17A!$V1923</f>
        <v>0</v>
      </c>
      <c r="F240" s="8"/>
    </row>
    <row r="241" spans="1:6" ht="15" customHeight="1" x14ac:dyDescent="0.2">
      <c r="A241" s="192" t="s">
        <v>342</v>
      </c>
      <c r="B241" s="193" t="s">
        <v>343</v>
      </c>
      <c r="C241" s="24">
        <f>+[5]BS17A!$D1924</f>
        <v>0</v>
      </c>
      <c r="D241" s="25">
        <f>+[5]BS17A!$U1924</f>
        <v>32250</v>
      </c>
      <c r="E241" s="146">
        <f>+[5]BS17A!$V1924</f>
        <v>0</v>
      </c>
      <c r="F241" s="8"/>
    </row>
    <row r="242" spans="1:6" ht="15" customHeight="1" x14ac:dyDescent="0.2">
      <c r="A242" s="192" t="s">
        <v>344</v>
      </c>
      <c r="B242" s="193" t="s">
        <v>345</v>
      </c>
      <c r="C242" s="24">
        <f>+[5]BS17A!$D1925</f>
        <v>0</v>
      </c>
      <c r="D242" s="25">
        <f>+[5]BS17A!$U1925</f>
        <v>121620</v>
      </c>
      <c r="E242" s="146">
        <f>+[5]BS17A!$V1925</f>
        <v>0</v>
      </c>
      <c r="F242" s="8"/>
    </row>
    <row r="243" spans="1:6" ht="15" customHeight="1" x14ac:dyDescent="0.2">
      <c r="A243" s="192" t="s">
        <v>346</v>
      </c>
      <c r="B243" s="193" t="s">
        <v>347</v>
      </c>
      <c r="C243" s="24">
        <f>+[5]BS17A!$D1926</f>
        <v>0</v>
      </c>
      <c r="D243" s="25">
        <f>+[5]BS17A!$U1926</f>
        <v>121620</v>
      </c>
      <c r="E243" s="146">
        <f>+[5]BS17A!$V1926</f>
        <v>0</v>
      </c>
      <c r="F243" s="8"/>
    </row>
    <row r="244" spans="1:6" ht="15" customHeight="1" x14ac:dyDescent="0.2">
      <c r="A244" s="192" t="s">
        <v>348</v>
      </c>
      <c r="B244" s="193" t="s">
        <v>349</v>
      </c>
      <c r="C244" s="24">
        <f>+[5]BS17A!$D1927</f>
        <v>0</v>
      </c>
      <c r="D244" s="25">
        <f>+[5]BS17A!$U1927</f>
        <v>221430</v>
      </c>
      <c r="E244" s="146">
        <f>+[5]BS17A!$V1927</f>
        <v>0</v>
      </c>
      <c r="F244" s="8"/>
    </row>
    <row r="245" spans="1:6" ht="15" customHeight="1" x14ac:dyDescent="0.2">
      <c r="A245" s="192" t="s">
        <v>350</v>
      </c>
      <c r="B245" s="193" t="s">
        <v>351</v>
      </c>
      <c r="C245" s="24">
        <f>+[5]BS17A!$D1928</f>
        <v>0</v>
      </c>
      <c r="D245" s="25">
        <f>+[5]BS17A!$U1928</f>
        <v>339820</v>
      </c>
      <c r="E245" s="146">
        <f>+[5]BS17A!$V1928</f>
        <v>0</v>
      </c>
      <c r="F245" s="8"/>
    </row>
    <row r="246" spans="1:6" ht="15" customHeight="1" x14ac:dyDescent="0.2">
      <c r="A246" s="192" t="s">
        <v>352</v>
      </c>
      <c r="B246" s="193" t="s">
        <v>353</v>
      </c>
      <c r="C246" s="24">
        <f>+[5]BS17A!$D1929</f>
        <v>0</v>
      </c>
      <c r="D246" s="25">
        <f>+[5]BS17A!$U1929</f>
        <v>579700</v>
      </c>
      <c r="E246" s="146">
        <f>+[5]BS17A!$V1929</f>
        <v>0</v>
      </c>
      <c r="F246" s="8"/>
    </row>
    <row r="247" spans="1:6" ht="15" customHeight="1" x14ac:dyDescent="0.2">
      <c r="A247" s="194" t="s">
        <v>354</v>
      </c>
      <c r="B247" s="193" t="s">
        <v>355</v>
      </c>
      <c r="C247" s="24">
        <f>+[5]BS17A!$D1930</f>
        <v>0</v>
      </c>
      <c r="D247" s="25">
        <f>+[5]BS17A!$U1930</f>
        <v>120740</v>
      </c>
      <c r="E247" s="146">
        <f>+[5]BS17A!$V1930</f>
        <v>0</v>
      </c>
      <c r="F247" s="8"/>
    </row>
    <row r="248" spans="1:6" ht="15" customHeight="1" x14ac:dyDescent="0.2">
      <c r="A248" s="194" t="s">
        <v>356</v>
      </c>
      <c r="B248" s="193" t="s">
        <v>357</v>
      </c>
      <c r="C248" s="24">
        <f>+[5]BS17A!$D1931</f>
        <v>0</v>
      </c>
      <c r="D248" s="25">
        <f>+[5]BS17A!$U1931</f>
        <v>325420</v>
      </c>
      <c r="E248" s="146">
        <f>+[5]BS17A!$V1931</f>
        <v>0</v>
      </c>
      <c r="F248" s="8"/>
    </row>
    <row r="249" spans="1:6" ht="15" customHeight="1" x14ac:dyDescent="0.2">
      <c r="A249" s="194" t="s">
        <v>358</v>
      </c>
      <c r="B249" s="193" t="s">
        <v>359</v>
      </c>
      <c r="C249" s="66">
        <f>+[5]BS17A!$D1932</f>
        <v>0</v>
      </c>
      <c r="D249" s="32">
        <f>+[5]BS17A!$U1932</f>
        <v>137020</v>
      </c>
      <c r="E249" s="195">
        <f>+[5]BS17A!$V1932</f>
        <v>0</v>
      </c>
      <c r="F249" s="8"/>
    </row>
    <row r="250" spans="1:6" ht="15" customHeight="1" x14ac:dyDescent="0.2">
      <c r="A250" s="194" t="s">
        <v>360</v>
      </c>
      <c r="B250" s="193" t="s">
        <v>361</v>
      </c>
      <c r="C250" s="66">
        <f>+[5]BS17A!$D1933</f>
        <v>0</v>
      </c>
      <c r="D250" s="32">
        <f>+[5]BS17A!$U1933</f>
        <v>119070</v>
      </c>
      <c r="E250" s="195">
        <f>+[5]BS17A!$V1933</f>
        <v>0</v>
      </c>
      <c r="F250" s="8"/>
    </row>
    <row r="251" spans="1:6" ht="15" customHeight="1" x14ac:dyDescent="0.2">
      <c r="A251" s="194" t="s">
        <v>362</v>
      </c>
      <c r="B251" s="193" t="s">
        <v>363</v>
      </c>
      <c r="C251" s="66">
        <f>+[5]BS17A!$D1934</f>
        <v>0</v>
      </c>
      <c r="D251" s="32">
        <f>+[5]BS17A!$U1934</f>
        <v>181020</v>
      </c>
      <c r="E251" s="195">
        <f>+[5]BS17A!$V1934</f>
        <v>0</v>
      </c>
      <c r="F251" s="8"/>
    </row>
    <row r="252" spans="1:6" ht="15" customHeight="1" x14ac:dyDescent="0.2">
      <c r="A252" s="194" t="s">
        <v>364</v>
      </c>
      <c r="B252" s="193" t="s">
        <v>365</v>
      </c>
      <c r="C252" s="66">
        <f>+[5]BS17A!$D1935</f>
        <v>0</v>
      </c>
      <c r="D252" s="32">
        <f>+[5]BS17A!$U1935</f>
        <v>47640</v>
      </c>
      <c r="E252" s="195">
        <f>+[5]BS17A!$V1935</f>
        <v>0</v>
      </c>
      <c r="F252" s="8"/>
    </row>
    <row r="253" spans="1:6" ht="15" customHeight="1" x14ac:dyDescent="0.2">
      <c r="A253" s="196" t="s">
        <v>366</v>
      </c>
      <c r="B253" s="197" t="s">
        <v>367</v>
      </c>
      <c r="C253" s="31">
        <f>+[5]BS17A!$D1936</f>
        <v>0</v>
      </c>
      <c r="D253" s="40">
        <f>+[5]BS17A!$U1936</f>
        <v>35600</v>
      </c>
      <c r="E253" s="153">
        <f>+[5]BS17A!$V1936</f>
        <v>0</v>
      </c>
      <c r="F253" s="8"/>
    </row>
    <row r="254" spans="1:6" ht="15" customHeight="1" x14ac:dyDescent="0.2">
      <c r="A254" s="242" t="s">
        <v>368</v>
      </c>
      <c r="B254" s="243"/>
      <c r="C254" s="243"/>
      <c r="D254" s="243"/>
      <c r="E254" s="244"/>
      <c r="F254" s="8"/>
    </row>
    <row r="255" spans="1:6" ht="15" customHeight="1" x14ac:dyDescent="0.2">
      <c r="A255" s="17" t="s">
        <v>369</v>
      </c>
      <c r="B255" s="198" t="s">
        <v>341</v>
      </c>
      <c r="C255" s="19">
        <f>+[5]BS17A!$D1937</f>
        <v>0</v>
      </c>
      <c r="D255" s="37">
        <f>+[5]BS17A!$U1937</f>
        <v>195210</v>
      </c>
      <c r="E255" s="145">
        <f>+[5]BS17A!$V1937</f>
        <v>0</v>
      </c>
      <c r="F255" s="8"/>
    </row>
    <row r="256" spans="1:6" ht="15" customHeight="1" x14ac:dyDescent="0.2">
      <c r="A256" s="22" t="s">
        <v>370</v>
      </c>
      <c r="B256" s="34" t="s">
        <v>371</v>
      </c>
      <c r="C256" s="24">
        <f>+[5]BS17A!$D1938</f>
        <v>0</v>
      </c>
      <c r="D256" s="25">
        <f>+[5]BS17A!$U1938</f>
        <v>1161300</v>
      </c>
      <c r="E256" s="146">
        <f>+[5]BS17A!$V1938</f>
        <v>0</v>
      </c>
      <c r="F256" s="8"/>
    </row>
    <row r="257" spans="1:6" ht="15" customHeight="1" x14ac:dyDescent="0.2">
      <c r="A257" s="22" t="s">
        <v>372</v>
      </c>
      <c r="B257" s="34" t="s">
        <v>373</v>
      </c>
      <c r="C257" s="24">
        <f>+[5]BS17A!$D1939</f>
        <v>0</v>
      </c>
      <c r="D257" s="25">
        <f>+[5]BS17A!$U1939</f>
        <v>175210</v>
      </c>
      <c r="E257" s="146">
        <f>+[5]BS17A!$V1939</f>
        <v>0</v>
      </c>
      <c r="F257" s="8"/>
    </row>
    <row r="258" spans="1:6" ht="15" customHeight="1" x14ac:dyDescent="0.2">
      <c r="A258" s="22" t="s">
        <v>374</v>
      </c>
      <c r="B258" s="34" t="s">
        <v>375</v>
      </c>
      <c r="C258" s="24">
        <f>+[5]BS17A!$D1940</f>
        <v>0</v>
      </c>
      <c r="D258" s="25">
        <f>+[5]BS17A!$U1940</f>
        <v>154940</v>
      </c>
      <c r="E258" s="146">
        <f>+[5]BS17A!$V1940</f>
        <v>0</v>
      </c>
      <c r="F258" s="8"/>
    </row>
    <row r="259" spans="1:6" ht="15" customHeight="1" x14ac:dyDescent="0.2">
      <c r="A259" s="22" t="s">
        <v>376</v>
      </c>
      <c r="B259" s="34" t="s">
        <v>377</v>
      </c>
      <c r="C259" s="24">
        <f>+[5]BS17A!$D1941</f>
        <v>0</v>
      </c>
      <c r="D259" s="25">
        <f>+[5]BS17A!$U1941</f>
        <v>314530</v>
      </c>
      <c r="E259" s="146">
        <f>+[5]BS17A!$V1941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24">
        <f>+[5]BS17A!$D1942</f>
        <v>0</v>
      </c>
      <c r="D260" s="25">
        <f>+[5]BS17A!$U1942</f>
        <v>1045930</v>
      </c>
      <c r="E260" s="146">
        <f>+[5]BS17A!$V1942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24">
        <f>+[5]BS17A!$D1943</f>
        <v>0</v>
      </c>
      <c r="D261" s="25">
        <f>+[5]BS17A!$U1943</f>
        <v>1074870</v>
      </c>
      <c r="E261" s="146">
        <f>+[5]BS17A!$V1943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24">
        <f>+[5]BS17A!$D1944</f>
        <v>0</v>
      </c>
      <c r="D262" s="25">
        <f>+[5]BS17A!$U1944</f>
        <v>851060</v>
      </c>
      <c r="E262" s="146">
        <f>+[5]BS17A!$V1944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24">
        <f>+[5]BS17A!$D1945</f>
        <v>0</v>
      </c>
      <c r="D263" s="25">
        <f>+[5]BS17A!$U1945</f>
        <v>896940</v>
      </c>
      <c r="E263" s="146">
        <f>+[5]BS17A!$V1945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24">
        <f>+[5]BS17A!$D1946</f>
        <v>0</v>
      </c>
      <c r="D264" s="25">
        <f>+[5]BS17A!$U1946</f>
        <v>353830</v>
      </c>
      <c r="E264" s="146">
        <f>+[5]BS17A!$V1946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24">
        <f>+[5]BS17A!$D1947</f>
        <v>0</v>
      </c>
      <c r="D265" s="25">
        <f>+[5]BS17A!$U1947</f>
        <v>84740</v>
      </c>
      <c r="E265" s="146">
        <f>+[5]BS17A!$V1947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24">
        <f>+[5]BS17A!$D1948</f>
        <v>0</v>
      </c>
      <c r="D266" s="25">
        <f>+[5]BS17A!$U1948</f>
        <v>252810</v>
      </c>
      <c r="E266" s="146">
        <f>+[5]BS17A!$V1948</f>
        <v>0</v>
      </c>
      <c r="F266" s="8"/>
    </row>
    <row r="267" spans="1:6" ht="15" customHeight="1" x14ac:dyDescent="0.2">
      <c r="A267" s="22" t="s">
        <v>392</v>
      </c>
      <c r="B267" s="23" t="s">
        <v>393</v>
      </c>
      <c r="C267" s="24">
        <f>+[5]BS17A!$D1949</f>
        <v>0</v>
      </c>
      <c r="D267" s="25">
        <f>+[5]BS17A!$U1949</f>
        <v>71480</v>
      </c>
      <c r="E267" s="146">
        <f>+[5]BS17A!$V1949</f>
        <v>0</v>
      </c>
      <c r="F267" s="8"/>
    </row>
    <row r="268" spans="1:6" ht="15" customHeight="1" x14ac:dyDescent="0.2">
      <c r="A268" s="22" t="s">
        <v>394</v>
      </c>
      <c r="B268" s="23" t="s">
        <v>395</v>
      </c>
      <c r="C268" s="24">
        <f>+[5]BS17A!$D1950</f>
        <v>0</v>
      </c>
      <c r="D268" s="25">
        <f>+[5]BS17A!$U1950</f>
        <v>1228260</v>
      </c>
      <c r="E268" s="146">
        <f>+[5]BS17A!$V1950</f>
        <v>0</v>
      </c>
      <c r="F268" s="8"/>
    </row>
    <row r="269" spans="1:6" ht="15" customHeight="1" x14ac:dyDescent="0.2">
      <c r="A269" s="22" t="s">
        <v>396</v>
      </c>
      <c r="B269" s="23" t="s">
        <v>397</v>
      </c>
      <c r="C269" s="24">
        <f>+[5]BS17A!$D1951</f>
        <v>0</v>
      </c>
      <c r="D269" s="25">
        <f>+[5]BS17A!$U1951</f>
        <v>287200</v>
      </c>
      <c r="E269" s="146">
        <f>+[5]BS17A!$V1951</f>
        <v>0</v>
      </c>
      <c r="F269" s="8"/>
    </row>
    <row r="270" spans="1:6" ht="15" customHeight="1" x14ac:dyDescent="0.2">
      <c r="A270" s="22" t="s">
        <v>398</v>
      </c>
      <c r="B270" s="23" t="s">
        <v>399</v>
      </c>
      <c r="C270" s="24">
        <f>+[5]BS17A!$D1952</f>
        <v>0</v>
      </c>
      <c r="D270" s="25">
        <f>+[5]BS17A!$U1952</f>
        <v>962120</v>
      </c>
      <c r="E270" s="146">
        <f>+[5]BS17A!$V1952</f>
        <v>0</v>
      </c>
      <c r="F270" s="8"/>
    </row>
    <row r="271" spans="1:6" ht="15" customHeight="1" x14ac:dyDescent="0.2">
      <c r="A271" s="22" t="s">
        <v>400</v>
      </c>
      <c r="B271" s="30" t="s">
        <v>401</v>
      </c>
      <c r="C271" s="24">
        <f>+[5]BS17A!$D1953</f>
        <v>0</v>
      </c>
      <c r="D271" s="25">
        <f>+[5]BS17A!$U1953</f>
        <v>589010</v>
      </c>
      <c r="E271" s="146">
        <f>+[5]BS17A!$V1953</f>
        <v>0</v>
      </c>
      <c r="F271" s="8"/>
    </row>
    <row r="272" spans="1:6" ht="15" customHeight="1" x14ac:dyDescent="0.2">
      <c r="A272" s="29" t="s">
        <v>402</v>
      </c>
      <c r="B272" s="30" t="s">
        <v>403</v>
      </c>
      <c r="C272" s="31">
        <f>+[5]BS17A!$D1954</f>
        <v>0</v>
      </c>
      <c r="D272" s="32">
        <f>+[5]BS17A!$U1954</f>
        <v>480670</v>
      </c>
      <c r="E272" s="195">
        <f>+[5]BS17A!$V1954</f>
        <v>0</v>
      </c>
      <c r="F272" s="8"/>
    </row>
    <row r="273" spans="1:10" ht="15" customHeight="1" x14ac:dyDescent="0.2">
      <c r="A273" s="242" t="s">
        <v>404</v>
      </c>
      <c r="B273" s="243"/>
      <c r="C273" s="243"/>
      <c r="D273" s="243"/>
      <c r="E273" s="244"/>
      <c r="F273" s="8"/>
    </row>
    <row r="274" spans="1:10" ht="15" customHeight="1" x14ac:dyDescent="0.2">
      <c r="A274" s="17" t="s">
        <v>405</v>
      </c>
      <c r="B274" s="18" t="s">
        <v>406</v>
      </c>
      <c r="C274" s="70">
        <f>+[5]BS17A!$D1955</f>
        <v>0</v>
      </c>
      <c r="D274" s="20">
        <f>[5]BS17A!U1955</f>
        <v>259110</v>
      </c>
      <c r="E274" s="199">
        <f>+[5]BS17A!$V1955</f>
        <v>0</v>
      </c>
      <c r="F274" s="8"/>
    </row>
    <row r="275" spans="1:10" ht="15" customHeight="1" x14ac:dyDescent="0.2">
      <c r="A275" s="22" t="s">
        <v>407</v>
      </c>
      <c r="B275" s="23" t="s">
        <v>408</v>
      </c>
      <c r="C275" s="24">
        <f>+[5]BS17A!$D1956</f>
        <v>0</v>
      </c>
      <c r="D275" s="25">
        <f>[5]BS17A!U1956</f>
        <v>151070</v>
      </c>
      <c r="E275" s="146">
        <f>+[5]BS17A!$V1956</f>
        <v>0</v>
      </c>
      <c r="F275" s="8"/>
    </row>
    <row r="276" spans="1:10" ht="15" customHeight="1" x14ac:dyDescent="0.2">
      <c r="A276" s="22" t="s">
        <v>409</v>
      </c>
      <c r="B276" s="23" t="s">
        <v>410</v>
      </c>
      <c r="C276" s="24">
        <f>+[5]BS17A!$D1957</f>
        <v>0</v>
      </c>
      <c r="D276" s="25">
        <f>[5]BS17A!U1957</f>
        <v>365020</v>
      </c>
      <c r="E276" s="146">
        <f>+[5]BS17A!$V1957</f>
        <v>0</v>
      </c>
      <c r="F276" s="8"/>
    </row>
    <row r="277" spans="1:10" ht="15" customHeight="1" x14ac:dyDescent="0.2">
      <c r="A277" s="22" t="s">
        <v>411</v>
      </c>
      <c r="B277" s="23" t="s">
        <v>412</v>
      </c>
      <c r="C277" s="24">
        <f>+[5]BS17A!$D1958</f>
        <v>0</v>
      </c>
      <c r="D277" s="25">
        <f>[5]BS17A!U1958</f>
        <v>378270</v>
      </c>
      <c r="E277" s="146">
        <f>+[5]BS17A!$V1958</f>
        <v>0</v>
      </c>
      <c r="F277" s="8"/>
    </row>
    <row r="278" spans="1:10" ht="15" customHeight="1" x14ac:dyDescent="0.2">
      <c r="A278" s="29" t="s">
        <v>413</v>
      </c>
      <c r="B278" s="39" t="s">
        <v>414</v>
      </c>
      <c r="C278" s="31">
        <f>+[5]BS17A!$D1959</f>
        <v>0</v>
      </c>
      <c r="D278" s="40">
        <f>[5]BS17A!U1959</f>
        <v>236360</v>
      </c>
      <c r="E278" s="153">
        <f>+[5]BS17A!$V1959</f>
        <v>0</v>
      </c>
      <c r="F278" s="200"/>
    </row>
    <row r="279" spans="1:10" ht="15" customHeight="1" x14ac:dyDescent="0.2">
      <c r="A279" s="201" t="s">
        <v>415</v>
      </c>
      <c r="B279" s="202" t="s">
        <v>416</v>
      </c>
      <c r="C279" s="203">
        <f>+[5]BS17A!$D1960</f>
        <v>100</v>
      </c>
      <c r="D279" s="204">
        <f>[5]BS17A!U1960</f>
        <v>32140</v>
      </c>
      <c r="E279" s="189">
        <f>+[5]BS17A!$V1960</f>
        <v>3214000</v>
      </c>
      <c r="F279" s="200"/>
    </row>
    <row r="280" spans="1:10" ht="15" customHeight="1" x14ac:dyDescent="0.2">
      <c r="A280" s="130"/>
      <c r="B280" s="205" t="s">
        <v>417</v>
      </c>
      <c r="C280" s="44">
        <f>SUM(C240:C279)</f>
        <v>100</v>
      </c>
      <c r="D280" s="151"/>
      <c r="E280" s="152">
        <f>SUM(E240:E279)</f>
        <v>3214000</v>
      </c>
      <c r="F280" s="200"/>
    </row>
    <row r="281" spans="1:10" ht="18" customHeight="1" x14ac:dyDescent="0.2">
      <c r="A281" s="183"/>
      <c r="B281" s="8"/>
      <c r="C281" s="8"/>
      <c r="D281" s="183"/>
      <c r="E281" s="183"/>
      <c r="F281" s="8"/>
    </row>
    <row r="282" spans="1:10" ht="18" customHeight="1" x14ac:dyDescent="0.2">
      <c r="A282" s="183"/>
      <c r="B282" s="185"/>
      <c r="C282" s="185"/>
      <c r="D282" s="183"/>
      <c r="E282" s="183"/>
      <c r="F282" s="206"/>
      <c r="G282" s="207"/>
      <c r="J282" s="208"/>
    </row>
    <row r="283" spans="1:10" ht="12.75" customHeight="1" x14ac:dyDescent="0.2">
      <c r="A283" s="251" t="s">
        <v>418</v>
      </c>
      <c r="B283" s="254"/>
      <c r="C283" s="254"/>
      <c r="D283" s="254"/>
      <c r="E283" s="255"/>
      <c r="F283" s="8"/>
    </row>
    <row r="284" spans="1:10" ht="44.25" customHeight="1" x14ac:dyDescent="0.2">
      <c r="A284" s="11" t="s">
        <v>8</v>
      </c>
      <c r="B284" s="11" t="s">
        <v>418</v>
      </c>
      <c r="C284" s="12" t="s">
        <v>339</v>
      </c>
      <c r="D284" s="13" t="s">
        <v>11</v>
      </c>
      <c r="E284" s="14" t="s">
        <v>12</v>
      </c>
      <c r="F284" s="200"/>
    </row>
    <row r="285" spans="1:10" ht="15" customHeight="1" x14ac:dyDescent="0.2">
      <c r="A285" s="17" t="s">
        <v>419</v>
      </c>
      <c r="B285" s="209" t="s">
        <v>420</v>
      </c>
      <c r="C285" s="19">
        <f>+[5]BS17A!$D1962</f>
        <v>6</v>
      </c>
      <c r="D285" s="37">
        <f>+[5]BS17A!$U1962</f>
        <v>6320</v>
      </c>
      <c r="E285" s="145">
        <f>+[5]BS17A!$V1962</f>
        <v>37920</v>
      </c>
      <c r="F285" s="8"/>
    </row>
    <row r="286" spans="1:10" ht="15" customHeight="1" x14ac:dyDescent="0.2">
      <c r="A286" s="22" t="s">
        <v>421</v>
      </c>
      <c r="B286" s="210" t="s">
        <v>422</v>
      </c>
      <c r="C286" s="24">
        <f>+[5]BS17A!$D1963</f>
        <v>0</v>
      </c>
      <c r="D286" s="25">
        <f>+[5]BS17A!$U1963</f>
        <v>3370</v>
      </c>
      <c r="E286" s="146">
        <f>+[5]BS17A!$V1963</f>
        <v>0</v>
      </c>
      <c r="F286" s="8"/>
    </row>
    <row r="287" spans="1:10" ht="15" customHeight="1" x14ac:dyDescent="0.2">
      <c r="A287" s="22" t="s">
        <v>423</v>
      </c>
      <c r="B287" s="210" t="s">
        <v>424</v>
      </c>
      <c r="C287" s="24">
        <f>+[5]BS17A!$D1964</f>
        <v>2</v>
      </c>
      <c r="D287" s="25">
        <f>+[5]BS17A!$U1964</f>
        <v>12690</v>
      </c>
      <c r="E287" s="146">
        <f>+[5]BS17A!$V1964</f>
        <v>25380</v>
      </c>
      <c r="F287" s="8"/>
    </row>
    <row r="288" spans="1:10" ht="15" customHeight="1" x14ac:dyDescent="0.2">
      <c r="A288" s="22" t="s">
        <v>425</v>
      </c>
      <c r="B288" s="210" t="s">
        <v>426</v>
      </c>
      <c r="C288" s="24">
        <f>+[5]BS17A!$D1965</f>
        <v>0</v>
      </c>
      <c r="D288" s="25">
        <f>+[5]BS17A!$U1965</f>
        <v>130140</v>
      </c>
      <c r="E288" s="146">
        <f>+[5]BS17A!$V1965</f>
        <v>0</v>
      </c>
      <c r="F288" s="8"/>
    </row>
    <row r="289" spans="1:7" ht="15" customHeight="1" x14ac:dyDescent="0.2">
      <c r="A289" s="29" t="s">
        <v>427</v>
      </c>
      <c r="B289" s="211" t="s">
        <v>428</v>
      </c>
      <c r="C289" s="31">
        <f>+[5]BS17A!$D1966</f>
        <v>0</v>
      </c>
      <c r="D289" s="40">
        <f>+[5]BS17A!$U1966</f>
        <v>714770</v>
      </c>
      <c r="E289" s="153">
        <f>+[5]BS17A!$V1966</f>
        <v>0</v>
      </c>
      <c r="F289" s="8"/>
    </row>
    <row r="290" spans="1:7" ht="15" customHeight="1" x14ac:dyDescent="0.2">
      <c r="A290" s="130"/>
      <c r="B290" s="131" t="s">
        <v>429</v>
      </c>
      <c r="C290" s="56">
        <f>SUM(C285:C289)</f>
        <v>8</v>
      </c>
      <c r="D290" s="57"/>
      <c r="E290" s="107">
        <f>SUM(E285:E289)</f>
        <v>63300</v>
      </c>
      <c r="F290" s="8"/>
    </row>
    <row r="291" spans="1:7" ht="18" customHeight="1" x14ac:dyDescent="0.2">
      <c r="A291" s="183"/>
      <c r="B291" s="185"/>
      <c r="C291" s="183"/>
      <c r="D291" s="183"/>
      <c r="E291" s="183"/>
      <c r="F291" s="8"/>
    </row>
    <row r="292" spans="1:7" ht="18" customHeight="1" x14ac:dyDescent="0.2">
      <c r="A292" s="183"/>
      <c r="B292" s="185"/>
      <c r="C292" s="183"/>
      <c r="D292" s="183"/>
      <c r="E292" s="183"/>
      <c r="F292" s="212"/>
      <c r="G292" s="10"/>
    </row>
    <row r="293" spans="1:7" ht="12.75" x14ac:dyDescent="0.2">
      <c r="A293" s="242" t="s">
        <v>430</v>
      </c>
      <c r="B293" s="243"/>
      <c r="C293" s="243"/>
      <c r="D293" s="243"/>
      <c r="E293" s="244"/>
      <c r="F293" s="213"/>
      <c r="G293" s="10"/>
    </row>
    <row r="294" spans="1:7" ht="36.75" customHeight="1" x14ac:dyDescent="0.2">
      <c r="A294" s="11" t="s">
        <v>8</v>
      </c>
      <c r="B294" s="214" t="s">
        <v>430</v>
      </c>
      <c r="C294" s="215" t="s">
        <v>431</v>
      </c>
      <c r="D294" s="13" t="s">
        <v>11</v>
      </c>
      <c r="E294" s="14" t="s">
        <v>12</v>
      </c>
      <c r="F294" s="213"/>
      <c r="G294" s="10"/>
    </row>
    <row r="295" spans="1:7" ht="15" customHeight="1" x14ac:dyDescent="0.2">
      <c r="A295" s="17" t="s">
        <v>432</v>
      </c>
      <c r="B295" s="36" t="s">
        <v>433</v>
      </c>
      <c r="C295" s="19">
        <f>+[5]BS17A!$D1851</f>
        <v>257</v>
      </c>
      <c r="D295" s="37">
        <f>+[5]BS17A!$U1851</f>
        <v>16920</v>
      </c>
      <c r="E295" s="145">
        <f>+[5]BS17A!$V1851</f>
        <v>4348440</v>
      </c>
      <c r="F295" s="8"/>
    </row>
    <row r="296" spans="1:7" ht="15" customHeight="1" x14ac:dyDescent="0.2">
      <c r="A296" s="22" t="s">
        <v>434</v>
      </c>
      <c r="B296" s="28" t="s">
        <v>435</v>
      </c>
      <c r="C296" s="24">
        <f>+[5]BS17A!$D1852</f>
        <v>184</v>
      </c>
      <c r="D296" s="25">
        <f>+[5]BS17A!$U1852</f>
        <v>53200</v>
      </c>
      <c r="E296" s="146">
        <f>+[5]BS17A!$V1852</f>
        <v>9788800</v>
      </c>
      <c r="F296" s="8"/>
    </row>
    <row r="297" spans="1:7" ht="15" customHeight="1" x14ac:dyDescent="0.2">
      <c r="A297" s="22" t="s">
        <v>436</v>
      </c>
      <c r="B297" s="28" t="s">
        <v>437</v>
      </c>
      <c r="C297" s="24">
        <f>+[5]BS17A!$D1853</f>
        <v>0</v>
      </c>
      <c r="D297" s="25">
        <f>+[5]BS17A!$U1853</f>
        <v>65950</v>
      </c>
      <c r="E297" s="146">
        <f>+[5]BS17A!$V1853</f>
        <v>0</v>
      </c>
      <c r="F297" s="8"/>
    </row>
    <row r="298" spans="1:7" ht="15" customHeight="1" x14ac:dyDescent="0.2">
      <c r="A298" s="22" t="s">
        <v>438</v>
      </c>
      <c r="B298" s="28" t="s">
        <v>439</v>
      </c>
      <c r="C298" s="24">
        <f>+[5]BS17A!$D1854</f>
        <v>174</v>
      </c>
      <c r="D298" s="25">
        <f>+[5]BS17A!$U1854</f>
        <v>2320</v>
      </c>
      <c r="E298" s="146">
        <f>+[5]BS17A!$V1854</f>
        <v>403680</v>
      </c>
      <c r="F298" s="8"/>
    </row>
    <row r="299" spans="1:7" ht="15" customHeight="1" x14ac:dyDescent="0.2">
      <c r="A299" s="22" t="s">
        <v>440</v>
      </c>
      <c r="B299" s="28" t="s">
        <v>441</v>
      </c>
      <c r="C299" s="24">
        <f>+[5]BS17A!$D1855</f>
        <v>0</v>
      </c>
      <c r="D299" s="25">
        <f>+[5]BS17A!$U1855</f>
        <v>70</v>
      </c>
      <c r="E299" s="146">
        <f>+[5]BS17A!$V1855</f>
        <v>0</v>
      </c>
      <c r="F299" s="8"/>
    </row>
    <row r="300" spans="1:7" ht="15" customHeight="1" x14ac:dyDescent="0.2">
      <c r="A300" s="22" t="s">
        <v>442</v>
      </c>
      <c r="B300" s="23" t="s">
        <v>443</v>
      </c>
      <c r="C300" s="24">
        <f>+[5]BS17A!$D1856</f>
        <v>0</v>
      </c>
      <c r="D300" s="25">
        <f>+[5]BS17A!$U1856</f>
        <v>140030</v>
      </c>
      <c r="E300" s="146">
        <f>+[5]BS17A!$V1856</f>
        <v>0</v>
      </c>
      <c r="F300" s="8"/>
    </row>
    <row r="301" spans="1:7" ht="15" customHeight="1" x14ac:dyDescent="0.2">
      <c r="A301" s="29" t="s">
        <v>444</v>
      </c>
      <c r="B301" s="43" t="s">
        <v>445</v>
      </c>
      <c r="C301" s="31">
        <f>+[5]BS17A!$D1857</f>
        <v>0</v>
      </c>
      <c r="D301" s="40">
        <f>+[5]BS17A!$U1857</f>
        <v>9520</v>
      </c>
      <c r="E301" s="153">
        <f>+[5]BS17A!$V1857</f>
        <v>0</v>
      </c>
      <c r="F301" s="8"/>
    </row>
    <row r="302" spans="1:7" ht="15" customHeight="1" x14ac:dyDescent="0.2">
      <c r="A302" s="96"/>
      <c r="B302" s="246" t="s">
        <v>446</v>
      </c>
      <c r="C302" s="247"/>
      <c r="D302" s="188"/>
      <c r="E302" s="217">
        <f>SUM(E295:E301)</f>
        <v>14540920</v>
      </c>
      <c r="F302" s="8"/>
    </row>
    <row r="303" spans="1:7" ht="12.75" x14ac:dyDescent="0.2">
      <c r="A303" s="8"/>
      <c r="B303" s="8"/>
      <c r="C303" s="8"/>
      <c r="D303" s="8"/>
      <c r="E303" s="8"/>
      <c r="F303" s="175"/>
      <c r="G303" s="182"/>
    </row>
    <row r="304" spans="1:7" ht="12.75" x14ac:dyDescent="0.2">
      <c r="A304" s="8"/>
      <c r="B304" s="8"/>
      <c r="C304" s="8"/>
      <c r="D304" s="8"/>
      <c r="E304" s="8"/>
      <c r="F304" s="175"/>
      <c r="G304" s="182"/>
    </row>
    <row r="305" spans="1:7" ht="12.75" x14ac:dyDescent="0.2">
      <c r="A305" s="239" t="s">
        <v>447</v>
      </c>
      <c r="B305" s="240"/>
      <c r="C305" s="240"/>
      <c r="D305" s="240"/>
      <c r="E305" s="241"/>
      <c r="F305" s="175"/>
      <c r="G305" s="182"/>
    </row>
    <row r="306" spans="1:7" ht="12.75" x14ac:dyDescent="0.2">
      <c r="A306" s="218"/>
      <c r="B306" s="248" t="s">
        <v>448</v>
      </c>
      <c r="C306" s="249"/>
      <c r="D306" s="250"/>
      <c r="E306" s="219">
        <f>+E231+E236+E280+E290+E302</f>
        <v>24855780</v>
      </c>
      <c r="F306" s="8"/>
    </row>
    <row r="307" spans="1:7" ht="12.75" x14ac:dyDescent="0.2">
      <c r="A307" s="8"/>
      <c r="B307" s="8"/>
      <c r="C307" s="8"/>
      <c r="D307" s="8"/>
      <c r="E307" s="8"/>
      <c r="F307" s="175"/>
      <c r="G307" s="182"/>
    </row>
    <row r="308" spans="1:7" ht="12.75" x14ac:dyDescent="0.2">
      <c r="A308" s="8"/>
      <c r="B308" s="8"/>
      <c r="C308" s="8"/>
      <c r="D308" s="8"/>
      <c r="E308" s="8"/>
      <c r="F308" s="175"/>
      <c r="G308" s="182"/>
    </row>
    <row r="309" spans="1:7" ht="12.75" x14ac:dyDescent="0.2">
      <c r="A309" s="239" t="s">
        <v>449</v>
      </c>
      <c r="B309" s="240"/>
      <c r="C309" s="240"/>
      <c r="D309" s="240"/>
      <c r="E309" s="241"/>
      <c r="F309" s="175"/>
      <c r="G309" s="182"/>
    </row>
    <row r="310" spans="1:7" ht="25.5" x14ac:dyDescent="0.2">
      <c r="A310" s="242" t="s">
        <v>450</v>
      </c>
      <c r="B310" s="243"/>
      <c r="C310" s="243"/>
      <c r="D310" s="244"/>
      <c r="E310" s="11" t="s">
        <v>12</v>
      </c>
      <c r="F310" s="175"/>
      <c r="G310" s="182"/>
    </row>
    <row r="311" spans="1:7" ht="15" customHeight="1" x14ac:dyDescent="0.2">
      <c r="A311" s="218"/>
      <c r="B311" s="248" t="s">
        <v>451</v>
      </c>
      <c r="C311" s="249"/>
      <c r="D311" s="250"/>
      <c r="E311" s="219">
        <f>+E50+E76+E84+F109+E116+C121+E148+E155+E167+E203+E217+C224+E306</f>
        <v>642916520</v>
      </c>
      <c r="F311" s="175"/>
      <c r="G311" s="182"/>
    </row>
    <row r="312" spans="1:7" ht="18" customHeight="1" x14ac:dyDescent="0.2">
      <c r="A312" s="8"/>
      <c r="B312" s="8"/>
      <c r="C312" s="8"/>
      <c r="D312" s="8"/>
      <c r="E312" s="8"/>
      <c r="F312" s="5"/>
    </row>
    <row r="313" spans="1:7" ht="18" customHeight="1" x14ac:dyDescent="0.2">
      <c r="A313" s="8"/>
      <c r="B313" s="8"/>
      <c r="C313" s="8"/>
      <c r="D313" s="8"/>
      <c r="E313" s="8"/>
      <c r="F313" s="5"/>
    </row>
    <row r="314" spans="1:7" ht="18" customHeight="1" x14ac:dyDescent="0.2">
      <c r="A314" s="239" t="s">
        <v>452</v>
      </c>
      <c r="B314" s="240"/>
      <c r="C314" s="241"/>
      <c r="D314" s="8"/>
      <c r="E314" s="8"/>
      <c r="F314" s="5"/>
    </row>
    <row r="315" spans="1:7" ht="18" customHeight="1" x14ac:dyDescent="0.2">
      <c r="A315" s="242" t="s">
        <v>453</v>
      </c>
      <c r="B315" s="243"/>
      <c r="C315" s="244"/>
      <c r="D315" s="8"/>
      <c r="E315" s="8"/>
      <c r="F315" s="5"/>
    </row>
    <row r="316" spans="1:7" ht="30.75" customHeight="1" x14ac:dyDescent="0.2">
      <c r="A316" s="239" t="s">
        <v>454</v>
      </c>
      <c r="B316" s="240"/>
      <c r="C316" s="11" t="s">
        <v>455</v>
      </c>
      <c r="D316" s="8"/>
      <c r="E316" s="8"/>
      <c r="F316" s="8"/>
    </row>
    <row r="317" spans="1:7" ht="15" customHeight="1" x14ac:dyDescent="0.2">
      <c r="A317" s="220" t="s">
        <v>456</v>
      </c>
      <c r="B317" s="191"/>
      <c r="C317" s="221"/>
      <c r="D317" s="8"/>
      <c r="E317" s="8"/>
      <c r="F317" s="8"/>
    </row>
    <row r="318" spans="1:7" ht="15" customHeight="1" x14ac:dyDescent="0.2">
      <c r="A318" s="24" t="s">
        <v>457</v>
      </c>
      <c r="B318" s="193"/>
      <c r="C318" s="222"/>
      <c r="D318" s="8"/>
      <c r="E318" s="8"/>
      <c r="F318" s="8"/>
    </row>
    <row r="319" spans="1:7" ht="15" customHeight="1" x14ac:dyDescent="0.2">
      <c r="A319" s="24" t="s">
        <v>458</v>
      </c>
      <c r="B319" s="193"/>
      <c r="C319" s="222"/>
      <c r="D319" s="8"/>
      <c r="E319" s="8"/>
      <c r="F319" s="8"/>
    </row>
    <row r="320" spans="1:7" ht="15" customHeight="1" x14ac:dyDescent="0.2">
      <c r="A320" s="223" t="s">
        <v>459</v>
      </c>
      <c r="B320" s="193"/>
      <c r="C320" s="222"/>
      <c r="D320" s="8"/>
      <c r="E320" s="8"/>
      <c r="F320" s="8"/>
    </row>
    <row r="321" spans="1:6" ht="15" customHeight="1" x14ac:dyDescent="0.2">
      <c r="A321" s="224" t="s">
        <v>460</v>
      </c>
      <c r="B321" s="225"/>
      <c r="C321" s="226">
        <f>SUM(C317:C320)</f>
        <v>0</v>
      </c>
      <c r="D321" s="8"/>
      <c r="E321" s="8"/>
      <c r="F321" s="8"/>
    </row>
    <row r="322" spans="1:6" ht="15" customHeight="1" x14ac:dyDescent="0.2">
      <c r="A322" s="19" t="s">
        <v>461</v>
      </c>
      <c r="B322" s="227"/>
      <c r="C322" s="221">
        <v>4132280</v>
      </c>
      <c r="D322" s="8"/>
      <c r="E322" s="8"/>
      <c r="F322" s="8"/>
    </row>
    <row r="323" spans="1:6" ht="15" customHeight="1" x14ac:dyDescent="0.2">
      <c r="A323" s="228" t="s">
        <v>462</v>
      </c>
      <c r="B323" s="229"/>
      <c r="C323" s="222"/>
      <c r="D323" s="8"/>
      <c r="E323" s="8"/>
      <c r="F323" s="8"/>
    </row>
    <row r="324" spans="1:6" ht="15" customHeight="1" x14ac:dyDescent="0.2">
      <c r="A324" s="24" t="s">
        <v>463</v>
      </c>
      <c r="B324" s="229"/>
      <c r="C324" s="222"/>
      <c r="D324" s="8"/>
      <c r="E324" s="8"/>
      <c r="F324" s="8"/>
    </row>
    <row r="325" spans="1:6" ht="15" customHeight="1" x14ac:dyDescent="0.2">
      <c r="A325" s="24" t="s">
        <v>464</v>
      </c>
      <c r="B325" s="229"/>
      <c r="C325" s="222"/>
      <c r="D325" s="8"/>
      <c r="E325" s="8"/>
      <c r="F325" s="8"/>
    </row>
    <row r="326" spans="1:6" ht="15" customHeight="1" x14ac:dyDescent="0.2">
      <c r="A326" s="228" t="s">
        <v>465</v>
      </c>
      <c r="B326" s="229"/>
      <c r="C326" s="222"/>
      <c r="D326" s="8"/>
      <c r="E326" s="8"/>
      <c r="F326" s="8"/>
    </row>
    <row r="327" spans="1:6" ht="15" customHeight="1" x14ac:dyDescent="0.2">
      <c r="A327" s="228" t="s">
        <v>466</v>
      </c>
      <c r="B327" s="229"/>
      <c r="C327" s="222"/>
      <c r="D327" s="8"/>
      <c r="E327" s="8"/>
      <c r="F327" s="8"/>
    </row>
    <row r="328" spans="1:6" ht="15" customHeight="1" x14ac:dyDescent="0.2">
      <c r="A328" s="230" t="s">
        <v>467</v>
      </c>
      <c r="B328" s="231"/>
      <c r="C328" s="232">
        <v>50855181</v>
      </c>
      <c r="D328" s="8"/>
      <c r="E328" s="8"/>
      <c r="F328" s="8"/>
    </row>
    <row r="329" spans="1:6" ht="15" customHeight="1" x14ac:dyDescent="0.2">
      <c r="A329" s="44"/>
      <c r="B329" s="233" t="s">
        <v>468</v>
      </c>
      <c r="C329" s="163">
        <f>SUM(C321:C328)</f>
        <v>54987461</v>
      </c>
      <c r="D329" s="8"/>
      <c r="E329" s="8"/>
      <c r="F329" s="8"/>
    </row>
    <row r="330" spans="1:6" ht="12.75" x14ac:dyDescent="0.2">
      <c r="A330" s="8"/>
      <c r="B330" s="8"/>
      <c r="C330" s="8"/>
      <c r="D330" s="8"/>
      <c r="E330" s="8"/>
      <c r="F330" s="5"/>
    </row>
    <row r="331" spans="1:6" ht="12.75" x14ac:dyDescent="0.2">
      <c r="A331" s="8"/>
      <c r="B331" s="8"/>
      <c r="C331" s="8"/>
      <c r="D331" s="8"/>
      <c r="E331" s="8"/>
      <c r="F331" s="5"/>
    </row>
    <row r="332" spans="1:6" ht="12.75" x14ac:dyDescent="0.2">
      <c r="A332" s="8"/>
      <c r="B332" s="8"/>
      <c r="C332" s="8"/>
      <c r="D332" s="8"/>
      <c r="E332" s="8"/>
      <c r="F332" s="5"/>
    </row>
    <row r="333" spans="1:6" ht="12.75" x14ac:dyDescent="0.2">
      <c r="A333" s="183"/>
      <c r="B333" s="183"/>
      <c r="C333" s="183"/>
      <c r="D333" s="183"/>
      <c r="E333" s="183"/>
      <c r="F333" s="212"/>
    </row>
    <row r="334" spans="1:6" ht="12.75" x14ac:dyDescent="0.2">
      <c r="A334" s="183"/>
      <c r="B334" s="183"/>
      <c r="C334" s="183"/>
      <c r="D334" s="183"/>
      <c r="E334" s="245" t="str">
        <f>[5]NOMBRE!B12</f>
        <v>SRA. MARIA INES NUÑEZ GONZALEZ</v>
      </c>
      <c r="F334" s="245"/>
    </row>
    <row r="335" spans="1:6" ht="12.75" x14ac:dyDescent="0.2">
      <c r="A335" s="183"/>
      <c r="B335" s="183"/>
      <c r="C335" s="183"/>
      <c r="D335" s="185"/>
      <c r="E335" s="238" t="str">
        <f>[5]NOMBRE!A12</f>
        <v>Jefe de Estadisticas</v>
      </c>
      <c r="F335" s="238"/>
    </row>
    <row r="336" spans="1:6" ht="12.75" x14ac:dyDescent="0.2">
      <c r="A336" s="183"/>
      <c r="B336" s="183"/>
      <c r="C336" s="183"/>
      <c r="D336" s="183"/>
      <c r="E336" s="234"/>
      <c r="F336" s="235"/>
    </row>
    <row r="337" spans="1:6" ht="12.75" x14ac:dyDescent="0.2">
      <c r="A337" s="183"/>
      <c r="B337" s="183"/>
      <c r="C337" s="183"/>
      <c r="D337" s="183"/>
      <c r="E337" s="235"/>
      <c r="F337" s="235"/>
    </row>
    <row r="338" spans="1:6" ht="12.75" x14ac:dyDescent="0.2">
      <c r="A338" s="183"/>
      <c r="B338" s="183"/>
      <c r="C338" s="183"/>
      <c r="D338" s="183"/>
      <c r="E338" s="235"/>
      <c r="F338" s="235"/>
    </row>
    <row r="339" spans="1:6" ht="12.75" x14ac:dyDescent="0.2">
      <c r="A339" s="183"/>
      <c r="B339" s="183"/>
      <c r="C339" s="183"/>
      <c r="D339" s="183"/>
      <c r="E339" s="235"/>
      <c r="F339" s="235"/>
    </row>
    <row r="340" spans="1:6" ht="12.75" x14ac:dyDescent="0.2">
      <c r="A340" s="183"/>
      <c r="B340" s="183"/>
      <c r="C340" s="183"/>
      <c r="D340" s="183"/>
      <c r="E340" s="235"/>
      <c r="F340" s="235"/>
    </row>
    <row r="341" spans="1:6" ht="12.75" x14ac:dyDescent="0.2">
      <c r="A341" s="183"/>
      <c r="B341" s="183"/>
      <c r="C341" s="183"/>
      <c r="D341" s="183"/>
      <c r="E341" s="235"/>
      <c r="F341" s="235"/>
    </row>
    <row r="342" spans="1:6" ht="12.75" x14ac:dyDescent="0.2">
      <c r="A342" s="183"/>
      <c r="B342" s="183"/>
      <c r="C342" s="183"/>
      <c r="D342" s="183"/>
      <c r="E342" s="235"/>
      <c r="F342" s="235"/>
    </row>
    <row r="343" spans="1:6" ht="12.75" x14ac:dyDescent="0.2">
      <c r="A343" s="183"/>
      <c r="B343" s="183"/>
      <c r="C343" s="183"/>
      <c r="D343" s="183"/>
      <c r="E343" s="245" t="str">
        <f>[5]NOMBRE!B11</f>
        <v xml:space="preserve">DR. RUBEN BRAVO CASTILLO </v>
      </c>
      <c r="F343" s="245"/>
    </row>
    <row r="344" spans="1:6" ht="22.5" customHeight="1" x14ac:dyDescent="0.2">
      <c r="A344" s="183"/>
      <c r="B344" s="183"/>
      <c r="C344" s="183"/>
      <c r="D344" s="212"/>
      <c r="E344" s="238" t="str">
        <f>CONCATENATE("Director ",[5]NOMBRE!B1)</f>
        <v xml:space="preserve">Director </v>
      </c>
      <c r="F344" s="238"/>
    </row>
    <row r="345" spans="1:6" ht="12.75" x14ac:dyDescent="0.2">
      <c r="A345" s="183"/>
      <c r="B345" s="183"/>
      <c r="C345" s="183"/>
      <c r="D345" s="236"/>
      <c r="E345" s="183"/>
      <c r="F345" s="212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27:E227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0:E170"/>
    <mergeCell ref="A206:E206"/>
    <mergeCell ref="A220:C220"/>
    <mergeCell ref="B311:D311"/>
    <mergeCell ref="A234:E234"/>
    <mergeCell ref="A238:E238"/>
    <mergeCell ref="A254:E254"/>
    <mergeCell ref="A273:E273"/>
    <mergeCell ref="A283:E283"/>
    <mergeCell ref="A293:E293"/>
    <mergeCell ref="B302:C302"/>
    <mergeCell ref="A305:E305"/>
    <mergeCell ref="B306:D306"/>
    <mergeCell ref="A309:E309"/>
    <mergeCell ref="A310:D310"/>
    <mergeCell ref="E344:F344"/>
    <mergeCell ref="A314:C314"/>
    <mergeCell ref="A315:C315"/>
    <mergeCell ref="A316:B316"/>
    <mergeCell ref="E334:F334"/>
    <mergeCell ref="E335:F335"/>
    <mergeCell ref="E343:F34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workbookViewId="0">
      <selection sqref="A1:XFD1048576"/>
    </sheetView>
  </sheetViews>
  <sheetFormatPr baseColWidth="10" defaultRowHeight="10.5" x14ac:dyDescent="0.15"/>
  <cols>
    <col min="1" max="1" width="15" style="4" customWidth="1"/>
    <col min="2" max="2" width="74" style="4" customWidth="1"/>
    <col min="3" max="5" width="21.42578125" style="4" customWidth="1"/>
    <col min="6" max="6" width="19.5703125" style="237" customWidth="1"/>
    <col min="7" max="7" width="2.42578125" style="4" customWidth="1"/>
    <col min="8" max="9" width="5.140625" style="4" customWidth="1"/>
    <col min="10" max="256" width="11.42578125" style="4"/>
    <col min="257" max="257" width="15" style="4" customWidth="1"/>
    <col min="258" max="258" width="74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15" style="4" customWidth="1"/>
    <col min="514" max="514" width="74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15" style="4" customWidth="1"/>
    <col min="770" max="770" width="74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15" style="4" customWidth="1"/>
    <col min="1026" max="1026" width="74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15" style="4" customWidth="1"/>
    <col min="1282" max="1282" width="74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15" style="4" customWidth="1"/>
    <col min="1538" max="1538" width="74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15" style="4" customWidth="1"/>
    <col min="1794" max="1794" width="74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15" style="4" customWidth="1"/>
    <col min="2050" max="2050" width="74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15" style="4" customWidth="1"/>
    <col min="2306" max="2306" width="74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15" style="4" customWidth="1"/>
    <col min="2562" max="2562" width="74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15" style="4" customWidth="1"/>
    <col min="2818" max="2818" width="74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15" style="4" customWidth="1"/>
    <col min="3074" max="3074" width="74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15" style="4" customWidth="1"/>
    <col min="3330" max="3330" width="74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15" style="4" customWidth="1"/>
    <col min="3586" max="3586" width="74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15" style="4" customWidth="1"/>
    <col min="3842" max="3842" width="74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15" style="4" customWidth="1"/>
    <col min="4098" max="4098" width="74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15" style="4" customWidth="1"/>
    <col min="4354" max="4354" width="74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15" style="4" customWidth="1"/>
    <col min="4610" max="4610" width="74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15" style="4" customWidth="1"/>
    <col min="4866" max="4866" width="74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15" style="4" customWidth="1"/>
    <col min="5122" max="5122" width="74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15" style="4" customWidth="1"/>
    <col min="5378" max="5378" width="74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15" style="4" customWidth="1"/>
    <col min="5634" max="5634" width="74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15" style="4" customWidth="1"/>
    <col min="5890" max="5890" width="74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15" style="4" customWidth="1"/>
    <col min="6146" max="6146" width="74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15" style="4" customWidth="1"/>
    <col min="6402" max="6402" width="74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15" style="4" customWidth="1"/>
    <col min="6658" max="6658" width="74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15" style="4" customWidth="1"/>
    <col min="6914" max="6914" width="74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15" style="4" customWidth="1"/>
    <col min="7170" max="7170" width="74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15" style="4" customWidth="1"/>
    <col min="7426" max="7426" width="74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15" style="4" customWidth="1"/>
    <col min="7682" max="7682" width="74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15" style="4" customWidth="1"/>
    <col min="7938" max="7938" width="74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15" style="4" customWidth="1"/>
    <col min="8194" max="8194" width="74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15" style="4" customWidth="1"/>
    <col min="8450" max="8450" width="74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15" style="4" customWidth="1"/>
    <col min="8706" max="8706" width="74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15" style="4" customWidth="1"/>
    <col min="8962" max="8962" width="74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15" style="4" customWidth="1"/>
    <col min="9218" max="9218" width="74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15" style="4" customWidth="1"/>
    <col min="9474" max="9474" width="74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15" style="4" customWidth="1"/>
    <col min="9730" max="9730" width="74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15" style="4" customWidth="1"/>
    <col min="9986" max="9986" width="74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15" style="4" customWidth="1"/>
    <col min="10242" max="10242" width="74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15" style="4" customWidth="1"/>
    <col min="10498" max="10498" width="74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15" style="4" customWidth="1"/>
    <col min="10754" max="10754" width="74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15" style="4" customWidth="1"/>
    <col min="11010" max="11010" width="74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15" style="4" customWidth="1"/>
    <col min="11266" max="11266" width="74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15" style="4" customWidth="1"/>
    <col min="11522" max="11522" width="74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15" style="4" customWidth="1"/>
    <col min="11778" max="11778" width="74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15" style="4" customWidth="1"/>
    <col min="12034" max="12034" width="74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15" style="4" customWidth="1"/>
    <col min="12290" max="12290" width="74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15" style="4" customWidth="1"/>
    <col min="12546" max="12546" width="74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15" style="4" customWidth="1"/>
    <col min="12802" max="12802" width="74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15" style="4" customWidth="1"/>
    <col min="13058" max="13058" width="74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15" style="4" customWidth="1"/>
    <col min="13314" max="13314" width="74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15" style="4" customWidth="1"/>
    <col min="13570" max="13570" width="74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15" style="4" customWidth="1"/>
    <col min="13826" max="13826" width="74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15" style="4" customWidth="1"/>
    <col min="14082" max="14082" width="74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15" style="4" customWidth="1"/>
    <col min="14338" max="14338" width="74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15" style="4" customWidth="1"/>
    <col min="14594" max="14594" width="74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15" style="4" customWidth="1"/>
    <col min="14850" max="14850" width="74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15" style="4" customWidth="1"/>
    <col min="15106" max="15106" width="74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15" style="4" customWidth="1"/>
    <col min="15362" max="15362" width="74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15" style="4" customWidth="1"/>
    <col min="15618" max="15618" width="74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15" style="4" customWidth="1"/>
    <col min="15874" max="15874" width="74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15" style="4" customWidth="1"/>
    <col min="16130" max="16130" width="74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271" t="s">
        <v>1</v>
      </c>
      <c r="D1" s="272"/>
      <c r="E1" s="273"/>
      <c r="F1" s="3"/>
    </row>
    <row r="2" spans="1:7" ht="12.75" x14ac:dyDescent="0.2">
      <c r="A2" s="1" t="str">
        <f>CONCATENATE("COMUNA: ",[6]NOMBRE!B2," - ","( ",[6]NOMBRE!C2,[6]NOMBRE!D2,[6]NOMBRE!E2,[6]NOMBRE!F2,[6]NOMBRE!G2," )")</f>
        <v>COMUNA: LINARES  - ( 07401 )</v>
      </c>
      <c r="B2" s="2"/>
      <c r="C2" s="268"/>
      <c r="D2" s="269"/>
      <c r="E2" s="270"/>
      <c r="F2" s="5"/>
      <c r="G2" s="6"/>
    </row>
    <row r="3" spans="1:7" ht="12.75" x14ac:dyDescent="0.2">
      <c r="A3" s="1" t="str">
        <f>CONCATENATE("ESTABLECIMIENTO: ",[6]NOMBRE!B3," - ","( ",[6]NOMBRE!C3,[6]NOMBRE!D3,[6]NOMBRE!E3,[6]NOMBRE!F3,[6]NOMBRE!G3," )")</f>
        <v>ESTABLECIMIENTO: HOSPITAL DE LINARES  - ( 16108 )</v>
      </c>
      <c r="B3" s="2"/>
      <c r="C3" s="271" t="s">
        <v>2</v>
      </c>
      <c r="D3" s="272"/>
      <c r="E3" s="273"/>
      <c r="F3" s="5"/>
      <c r="G3" s="7"/>
    </row>
    <row r="4" spans="1:7" ht="12.75" x14ac:dyDescent="0.2">
      <c r="A4" s="1" t="str">
        <f>CONCATENATE("MES: ",[6]NOMBRE!B6," - ","( ",[6]NOMBRE!C6,[6]NOMBRE!D6," )")</f>
        <v>MES: JUNIO - ( 06 )</v>
      </c>
      <c r="B4" s="2"/>
      <c r="C4" s="268" t="str">
        <f>CONCATENATE([6]NOMBRE!B6," ","( ",[6]NOMBRE!C6,[6]NOMBRE!D6," )")</f>
        <v>JUNIO ( 06 )</v>
      </c>
      <c r="D4" s="269"/>
      <c r="E4" s="270"/>
      <c r="F4" s="5"/>
      <c r="G4" s="7"/>
    </row>
    <row r="5" spans="1:7" ht="12.75" x14ac:dyDescent="0.2">
      <c r="A5" s="1" t="str">
        <f>CONCATENATE("AÑO: ",[6]NOMBRE!B7)</f>
        <v>AÑO: 2011</v>
      </c>
      <c r="B5" s="2"/>
      <c r="C5" s="271" t="s">
        <v>3</v>
      </c>
      <c r="D5" s="272"/>
      <c r="E5" s="273"/>
      <c r="F5" s="5"/>
      <c r="G5" s="7"/>
    </row>
    <row r="6" spans="1:7" ht="12.75" x14ac:dyDescent="0.2">
      <c r="A6" s="8"/>
      <c r="B6" s="8"/>
      <c r="C6" s="268">
        <f>[6]NOMBRE!B7</f>
        <v>2011</v>
      </c>
      <c r="D6" s="269"/>
      <c r="E6" s="270"/>
      <c r="F6" s="5"/>
      <c r="G6" s="7"/>
    </row>
    <row r="7" spans="1:7" ht="12.75" x14ac:dyDescent="0.2">
      <c r="A7" s="263" t="s">
        <v>4</v>
      </c>
      <c r="B7" s="264"/>
      <c r="C7" s="265" t="s">
        <v>5</v>
      </c>
      <c r="D7" s="266"/>
      <c r="E7" s="267"/>
      <c r="F7" s="5"/>
      <c r="G7" s="7"/>
    </row>
    <row r="8" spans="1:7" ht="12.75" x14ac:dyDescent="0.2">
      <c r="A8" s="8"/>
      <c r="B8" s="9" t="s">
        <v>6</v>
      </c>
      <c r="C8" s="268" t="str">
        <f>CONCATENATE([6]NOMBRE!B3," ","( ",[6]NOMBRE!C3,[6]NOMBRE!D3,[6]NOMBRE!E3,[6]NOMBRE!F3,[6]NOMBRE!G3," )")</f>
        <v>HOSPITAL DE LINARES  ( 16108 )</v>
      </c>
      <c r="D8" s="269"/>
      <c r="E8" s="270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256" t="s">
        <v>7</v>
      </c>
      <c r="B11" s="252"/>
      <c r="C11" s="252"/>
      <c r="D11" s="252"/>
      <c r="E11" s="253"/>
      <c r="F11" s="5"/>
    </row>
    <row r="12" spans="1:7" ht="43.5" customHeight="1" x14ac:dyDescent="0.2">
      <c r="A12" s="11" t="s">
        <v>8</v>
      </c>
      <c r="B12" s="11" t="s">
        <v>9</v>
      </c>
      <c r="C12" s="12" t="s">
        <v>10</v>
      </c>
      <c r="D12" s="13" t="s">
        <v>11</v>
      </c>
      <c r="E12" s="14" t="s">
        <v>12</v>
      </c>
      <c r="F12" s="8"/>
    </row>
    <row r="13" spans="1:7" ht="12.75" customHeight="1" x14ac:dyDescent="0.2">
      <c r="A13" s="242" t="s">
        <v>13</v>
      </c>
      <c r="B13" s="243"/>
      <c r="C13" s="243"/>
      <c r="D13" s="243"/>
      <c r="E13" s="244"/>
      <c r="F13" s="8"/>
    </row>
    <row r="14" spans="1:7" ht="15" customHeight="1" x14ac:dyDescent="0.2">
      <c r="A14" s="17" t="s">
        <v>14</v>
      </c>
      <c r="B14" s="18" t="s">
        <v>15</v>
      </c>
      <c r="C14" s="19">
        <f>[6]BS17A!$D13</f>
        <v>0</v>
      </c>
      <c r="D14" s="20">
        <f>[6]BS17A!$U13</f>
        <v>3830</v>
      </c>
      <c r="E14" s="21">
        <f>[6]BS17A!$V13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24">
        <f>[6]BS17A!$D14</f>
        <v>0</v>
      </c>
      <c r="D15" s="25">
        <f>[6]BS17A!$U14</f>
        <v>4820</v>
      </c>
      <c r="E15" s="26">
        <f>[6]BS17A!$V14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24">
        <f>[6]BS17A!$D15</f>
        <v>8097</v>
      </c>
      <c r="D16" s="25">
        <f>[6]BS17A!$U15</f>
        <v>10320</v>
      </c>
      <c r="E16" s="26">
        <f>[6]BS17A!$V15</f>
        <v>83561040</v>
      </c>
      <c r="F16" s="8"/>
    </row>
    <row r="17" spans="1:6" ht="15" customHeight="1" x14ac:dyDescent="0.2">
      <c r="A17" s="22" t="s">
        <v>20</v>
      </c>
      <c r="B17" s="23" t="s">
        <v>21</v>
      </c>
      <c r="C17" s="24">
        <f>[6]BS17A!$D16</f>
        <v>0</v>
      </c>
      <c r="D17" s="25">
        <f>[6]BS17A!$U16</f>
        <v>6170</v>
      </c>
      <c r="E17" s="26">
        <f>[6]BS17A!$V16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24">
        <f>[6]BS17A!$D17</f>
        <v>0</v>
      </c>
      <c r="D18" s="25">
        <f>[6]BS17A!$U17</f>
        <v>6770</v>
      </c>
      <c r="E18" s="26">
        <f>[6]BS17A!$V17</f>
        <v>0</v>
      </c>
      <c r="F18" s="8"/>
    </row>
    <row r="19" spans="1:6" ht="33" customHeight="1" x14ac:dyDescent="0.2">
      <c r="A19" s="22" t="s">
        <v>24</v>
      </c>
      <c r="B19" s="27" t="s">
        <v>25</v>
      </c>
      <c r="C19" s="24">
        <f>[6]BS17A!$D20</f>
        <v>0</v>
      </c>
      <c r="D19" s="25">
        <f>[6]BS17A!$U20</f>
        <v>5210</v>
      </c>
      <c r="E19" s="26">
        <f>[6]BS17A!$V20</f>
        <v>0</v>
      </c>
      <c r="F19" s="8"/>
    </row>
    <row r="20" spans="1:6" ht="42.75" customHeight="1" x14ac:dyDescent="0.2">
      <c r="A20" s="22" t="s">
        <v>26</v>
      </c>
      <c r="B20" s="27" t="s">
        <v>27</v>
      </c>
      <c r="C20" s="24">
        <f>[6]BS17A!$D21</f>
        <v>0</v>
      </c>
      <c r="D20" s="25">
        <f>[6]BS17A!$U21</f>
        <v>6250</v>
      </c>
      <c r="E20" s="26">
        <f>[6]BS17A!$V21</f>
        <v>0</v>
      </c>
      <c r="F20" s="8"/>
    </row>
    <row r="21" spans="1:6" ht="42.75" customHeight="1" x14ac:dyDescent="0.2">
      <c r="A21" s="22" t="s">
        <v>28</v>
      </c>
      <c r="B21" s="27" t="s">
        <v>29</v>
      </c>
      <c r="C21" s="24">
        <f>[6]BS17A!$D22</f>
        <v>0</v>
      </c>
      <c r="D21" s="25">
        <f>[6]BS17A!$U22</f>
        <v>7760</v>
      </c>
      <c r="E21" s="26">
        <f>[6]BS17A!$V22</f>
        <v>0</v>
      </c>
      <c r="F21" s="8"/>
    </row>
    <row r="22" spans="1:6" ht="32.25" customHeight="1" x14ac:dyDescent="0.2">
      <c r="A22" s="22" t="s">
        <v>30</v>
      </c>
      <c r="B22" s="27" t="s">
        <v>31</v>
      </c>
      <c r="C22" s="24">
        <f>[6]BS17A!$D23</f>
        <v>1622</v>
      </c>
      <c r="D22" s="25">
        <f>[6]BS17A!$U23</f>
        <v>5210</v>
      </c>
      <c r="E22" s="26">
        <f>[6]BS17A!$V23</f>
        <v>8450620</v>
      </c>
      <c r="F22" s="8"/>
    </row>
    <row r="23" spans="1:6" ht="40.5" customHeight="1" x14ac:dyDescent="0.2">
      <c r="A23" s="22" t="s">
        <v>32</v>
      </c>
      <c r="B23" s="27" t="s">
        <v>33</v>
      </c>
      <c r="C23" s="24">
        <f>[6]BS17A!$D24</f>
        <v>910</v>
      </c>
      <c r="D23" s="25">
        <f>[6]BS17A!$U24</f>
        <v>6250</v>
      </c>
      <c r="E23" s="26">
        <f>[6]BS17A!$V24</f>
        <v>5687500</v>
      </c>
      <c r="F23" s="8"/>
    </row>
    <row r="24" spans="1:6" ht="27" customHeight="1" x14ac:dyDescent="0.2">
      <c r="A24" s="22" t="s">
        <v>34</v>
      </c>
      <c r="B24" s="27" t="s">
        <v>35</v>
      </c>
      <c r="C24" s="24">
        <f>[6]BS17A!$D25</f>
        <v>2008</v>
      </c>
      <c r="D24" s="25">
        <f>[6]BS17A!$U25</f>
        <v>7760</v>
      </c>
      <c r="E24" s="26">
        <f>[6]BS17A!$V25</f>
        <v>15582080</v>
      </c>
      <c r="F24" s="8"/>
    </row>
    <row r="25" spans="1:6" ht="15" customHeight="1" x14ac:dyDescent="0.2">
      <c r="A25" s="22" t="s">
        <v>36</v>
      </c>
      <c r="B25" s="28" t="s">
        <v>37</v>
      </c>
      <c r="C25" s="24">
        <f>+[6]BS17A!$D791</f>
        <v>167</v>
      </c>
      <c r="D25" s="25">
        <f>+[6]BS17A!$U791</f>
        <v>6330</v>
      </c>
      <c r="E25" s="26">
        <f>+[6]BS17A!$V791</f>
        <v>1057110</v>
      </c>
      <c r="F25" s="8"/>
    </row>
    <row r="26" spans="1:6" ht="15" customHeight="1" x14ac:dyDescent="0.2">
      <c r="A26" s="29" t="s">
        <v>38</v>
      </c>
      <c r="B26" s="30" t="s">
        <v>39</v>
      </c>
      <c r="C26" s="31">
        <f>+[6]BS17A!$D796</f>
        <v>0</v>
      </c>
      <c r="D26" s="32">
        <f>+[6]BS17A!$U796</f>
        <v>26240</v>
      </c>
      <c r="E26" s="33">
        <f>+[6]BS17A!$V796</f>
        <v>0</v>
      </c>
      <c r="F26" s="8"/>
    </row>
    <row r="27" spans="1:6" ht="18" customHeight="1" x14ac:dyDescent="0.2">
      <c r="A27" s="242" t="s">
        <v>40</v>
      </c>
      <c r="B27" s="243"/>
      <c r="C27" s="243"/>
      <c r="D27" s="243"/>
      <c r="E27" s="244"/>
      <c r="F27" s="8"/>
    </row>
    <row r="28" spans="1:6" ht="15" customHeight="1" x14ac:dyDescent="0.2">
      <c r="A28" s="17" t="s">
        <v>41</v>
      </c>
      <c r="B28" s="18" t="s">
        <v>42</v>
      </c>
      <c r="C28" s="19">
        <f>[6]BS17A!$D27</f>
        <v>1586</v>
      </c>
      <c r="D28" s="20">
        <f>[6]BS17A!$U27</f>
        <v>1020</v>
      </c>
      <c r="E28" s="21">
        <f>[6]BS17A!$V27</f>
        <v>1617720</v>
      </c>
      <c r="F28" s="8"/>
    </row>
    <row r="29" spans="1:6" ht="15" customHeight="1" x14ac:dyDescent="0.2">
      <c r="A29" s="22" t="s">
        <v>43</v>
      </c>
      <c r="B29" s="34" t="s">
        <v>44</v>
      </c>
      <c r="C29" s="24">
        <f>[6]BS17A!$D28</f>
        <v>0</v>
      </c>
      <c r="D29" s="25">
        <f>[6]BS17A!$U28</f>
        <v>1740</v>
      </c>
      <c r="E29" s="26">
        <f>[6]BS17A!$V28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24">
        <f>[6]BS17A!$D29</f>
        <v>0</v>
      </c>
      <c r="D30" s="25">
        <f>[6]BS17A!$U29</f>
        <v>550</v>
      </c>
      <c r="E30" s="26">
        <f>[6]BS17A!$V29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24">
        <f>[6]BS17A!$D30</f>
        <v>17</v>
      </c>
      <c r="D31" s="25">
        <f>[6]BS17A!$U30</f>
        <v>1380</v>
      </c>
      <c r="E31" s="26">
        <f>[6]BS17A!$V30</f>
        <v>23460</v>
      </c>
      <c r="F31" s="8"/>
    </row>
    <row r="32" spans="1:6" ht="15" customHeight="1" x14ac:dyDescent="0.2">
      <c r="A32" s="22" t="s">
        <v>49</v>
      </c>
      <c r="B32" s="23" t="s">
        <v>50</v>
      </c>
      <c r="C32" s="24">
        <f>[6]BS17A!$D31</f>
        <v>1208</v>
      </c>
      <c r="D32" s="25">
        <f>[6]BS17A!$U31</f>
        <v>1110</v>
      </c>
      <c r="E32" s="26">
        <f>[6]BS17A!$V31</f>
        <v>1340880</v>
      </c>
      <c r="F32" s="8"/>
    </row>
    <row r="33" spans="1:6" ht="15" customHeight="1" x14ac:dyDescent="0.2">
      <c r="A33" s="22" t="s">
        <v>51</v>
      </c>
      <c r="B33" s="34" t="s">
        <v>52</v>
      </c>
      <c r="C33" s="24">
        <f>[6]BS17A!$D32</f>
        <v>0</v>
      </c>
      <c r="D33" s="25">
        <f>[6]BS17A!$U32</f>
        <v>1020</v>
      </c>
      <c r="E33" s="26">
        <f>[6]BS17A!$V32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24">
        <f>+[6]BS17A!$D792</f>
        <v>0</v>
      </c>
      <c r="D34" s="25">
        <f>+[6]BS17A!$U792</f>
        <v>2480</v>
      </c>
      <c r="E34" s="26">
        <f>+[6]BS17A!$V792</f>
        <v>0</v>
      </c>
      <c r="F34" s="8"/>
    </row>
    <row r="35" spans="1:6" ht="15" customHeight="1" x14ac:dyDescent="0.2">
      <c r="A35" s="22" t="s">
        <v>55</v>
      </c>
      <c r="B35" s="34" t="s">
        <v>56</v>
      </c>
      <c r="C35" s="24">
        <f>+[6]BS17A!$D793</f>
        <v>539</v>
      </c>
      <c r="D35" s="25">
        <f>+[6]BS17A!$U793</f>
        <v>2480</v>
      </c>
      <c r="E35" s="26">
        <f>+[6]BS17A!$V793</f>
        <v>1336720</v>
      </c>
      <c r="F35" s="8"/>
    </row>
    <row r="36" spans="1:6" ht="15" customHeight="1" x14ac:dyDescent="0.2">
      <c r="A36" s="22" t="s">
        <v>57</v>
      </c>
      <c r="B36" s="34" t="s">
        <v>58</v>
      </c>
      <c r="C36" s="24">
        <f>+[6]BS17A!$D794</f>
        <v>1</v>
      </c>
      <c r="D36" s="25">
        <f>+[6]BS17A!$U794</f>
        <v>9880</v>
      </c>
      <c r="E36" s="26">
        <f>+[6]BS17A!$V794</f>
        <v>9880</v>
      </c>
      <c r="F36" s="8"/>
    </row>
    <row r="37" spans="1:6" ht="15" customHeight="1" x14ac:dyDescent="0.2">
      <c r="A37" s="29" t="s">
        <v>59</v>
      </c>
      <c r="B37" s="35" t="s">
        <v>60</v>
      </c>
      <c r="C37" s="31">
        <f>+[6]BS17A!$D795</f>
        <v>19</v>
      </c>
      <c r="D37" s="32">
        <f>+[6]BS17A!$U795</f>
        <v>11570</v>
      </c>
      <c r="E37" s="33">
        <f>+[6]BS17A!$V795</f>
        <v>219830</v>
      </c>
      <c r="F37" s="8"/>
    </row>
    <row r="38" spans="1:6" ht="18" customHeight="1" x14ac:dyDescent="0.2">
      <c r="A38" s="251" t="s">
        <v>61</v>
      </c>
      <c r="B38" s="254"/>
      <c r="C38" s="254"/>
      <c r="D38" s="254"/>
      <c r="E38" s="255"/>
      <c r="F38" s="8"/>
    </row>
    <row r="39" spans="1:6" ht="15" customHeight="1" x14ac:dyDescent="0.2">
      <c r="A39" s="17" t="s">
        <v>62</v>
      </c>
      <c r="B39" s="36" t="s">
        <v>63</v>
      </c>
      <c r="C39" s="19">
        <f>+[6]BS17A!$D797</f>
        <v>0</v>
      </c>
      <c r="D39" s="37">
        <f>+[6]BS17A!$U797</f>
        <v>2882</v>
      </c>
      <c r="E39" s="38">
        <f>+[6]BS17A!$V797</f>
        <v>0</v>
      </c>
      <c r="F39" s="8"/>
    </row>
    <row r="40" spans="1:6" ht="15" customHeight="1" x14ac:dyDescent="0.2">
      <c r="A40" s="29" t="s">
        <v>64</v>
      </c>
      <c r="B40" s="39" t="s">
        <v>65</v>
      </c>
      <c r="C40" s="31">
        <f>+[6]BS17A!$D798</f>
        <v>0</v>
      </c>
      <c r="D40" s="40">
        <f>+[6]BS17A!$U798</f>
        <v>6766</v>
      </c>
      <c r="E40" s="41">
        <f>+[6]BS17A!$V798</f>
        <v>0</v>
      </c>
      <c r="F40" s="8"/>
    </row>
    <row r="41" spans="1:6" ht="18" customHeight="1" x14ac:dyDescent="0.2">
      <c r="A41" s="251" t="s">
        <v>66</v>
      </c>
      <c r="B41" s="254"/>
      <c r="C41" s="254"/>
      <c r="D41" s="254"/>
      <c r="E41" s="255"/>
      <c r="F41" s="8"/>
    </row>
    <row r="42" spans="1:6" ht="15" customHeight="1" x14ac:dyDescent="0.2">
      <c r="A42" s="17" t="s">
        <v>67</v>
      </c>
      <c r="B42" s="42" t="s">
        <v>68</v>
      </c>
      <c r="C42" s="19">
        <f>+[6]BS17A!$D34</f>
        <v>0</v>
      </c>
      <c r="D42" s="37">
        <f>+[6]BS17A!$U34</f>
        <v>3340</v>
      </c>
      <c r="E42" s="38">
        <f>+[6]BS17A!$V34</f>
        <v>0</v>
      </c>
      <c r="F42" s="8"/>
    </row>
    <row r="43" spans="1:6" ht="15" customHeight="1" x14ac:dyDescent="0.2">
      <c r="A43" s="22" t="s">
        <v>69</v>
      </c>
      <c r="B43" s="23" t="s">
        <v>70</v>
      </c>
      <c r="C43" s="24">
        <f>+[6]BS17A!$D35</f>
        <v>603</v>
      </c>
      <c r="D43" s="25">
        <f>+[6]BS17A!$U35</f>
        <v>1840</v>
      </c>
      <c r="E43" s="26">
        <f>+[6]BS17A!$V35</f>
        <v>1109520</v>
      </c>
      <c r="F43" s="8"/>
    </row>
    <row r="44" spans="1:6" ht="15" customHeight="1" x14ac:dyDescent="0.2">
      <c r="A44" s="22" t="s">
        <v>71</v>
      </c>
      <c r="B44" s="23" t="s">
        <v>72</v>
      </c>
      <c r="C44" s="24">
        <f>+[6]BS17A!$D36</f>
        <v>3</v>
      </c>
      <c r="D44" s="25">
        <f>+[6]BS17A!$U36</f>
        <v>1840</v>
      </c>
      <c r="E44" s="26">
        <f>+[6]BS17A!$V36</f>
        <v>5520</v>
      </c>
      <c r="F44" s="8"/>
    </row>
    <row r="45" spans="1:6" ht="15" customHeight="1" x14ac:dyDescent="0.2">
      <c r="A45" s="29" t="s">
        <v>73</v>
      </c>
      <c r="B45" s="43" t="s">
        <v>74</v>
      </c>
      <c r="C45" s="31">
        <f>+[6]BS17A!$D37</f>
        <v>399</v>
      </c>
      <c r="D45" s="40">
        <f>+[6]BS17A!$U37</f>
        <v>550</v>
      </c>
      <c r="E45" s="41">
        <f>+[6]BS17A!$V37</f>
        <v>219450</v>
      </c>
      <c r="F45" s="8"/>
    </row>
    <row r="46" spans="1:6" ht="18" customHeight="1" x14ac:dyDescent="0.2">
      <c r="A46" s="251" t="s">
        <v>75</v>
      </c>
      <c r="B46" s="254"/>
      <c r="C46" s="254"/>
      <c r="D46" s="254"/>
      <c r="E46" s="255"/>
      <c r="F46" s="8"/>
    </row>
    <row r="47" spans="1:6" ht="15" customHeight="1" x14ac:dyDescent="0.2">
      <c r="A47" s="17" t="s">
        <v>76</v>
      </c>
      <c r="B47" s="42" t="s">
        <v>77</v>
      </c>
      <c r="C47" s="19">
        <f>+[6]BS17A!$D39</f>
        <v>25</v>
      </c>
      <c r="D47" s="37">
        <f>+[6]BS17A!$U39</f>
        <v>1590</v>
      </c>
      <c r="E47" s="38">
        <f>+[6]BS17A!$V39</f>
        <v>39750</v>
      </c>
      <c r="F47" s="8"/>
    </row>
    <row r="48" spans="1:6" ht="15" customHeight="1" x14ac:dyDescent="0.2">
      <c r="A48" s="22" t="s">
        <v>78</v>
      </c>
      <c r="B48" s="23" t="s">
        <v>79</v>
      </c>
      <c r="C48" s="24">
        <f>+[6]BS17A!$D40</f>
        <v>14</v>
      </c>
      <c r="D48" s="25">
        <f>+[6]BS17A!$U40</f>
        <v>1590</v>
      </c>
      <c r="E48" s="26">
        <f>+[6]BS17A!$V40</f>
        <v>22260</v>
      </c>
      <c r="F48" s="8"/>
    </row>
    <row r="49" spans="1:7" ht="15" customHeight="1" x14ac:dyDescent="0.2">
      <c r="A49" s="29" t="s">
        <v>80</v>
      </c>
      <c r="B49" s="43" t="s">
        <v>81</v>
      </c>
      <c r="C49" s="31">
        <f>+[6]BS17A!$D41</f>
        <v>0</v>
      </c>
      <c r="D49" s="40">
        <f>+[6]BS17A!$U41</f>
        <v>910</v>
      </c>
      <c r="E49" s="41">
        <f>+[6]BS17A!$V41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17218</v>
      </c>
      <c r="D50" s="46"/>
      <c r="E50" s="47">
        <f>SUM(E14:E49)</f>
        <v>120283340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251" t="s">
        <v>83</v>
      </c>
      <c r="B53" s="254"/>
      <c r="C53" s="254"/>
      <c r="D53" s="254"/>
      <c r="E53" s="255"/>
      <c r="F53" s="51"/>
      <c r="G53" s="52"/>
    </row>
    <row r="54" spans="1:7" ht="38.25" x14ac:dyDescent="0.2">
      <c r="A54" s="11" t="s">
        <v>8</v>
      </c>
      <c r="B54" s="11" t="s">
        <v>84</v>
      </c>
      <c r="C54" s="12" t="s">
        <v>10</v>
      </c>
      <c r="D54" s="53"/>
      <c r="E54" s="14" t="s">
        <v>12</v>
      </c>
      <c r="F54" s="8"/>
    </row>
    <row r="55" spans="1:7" ht="18" customHeight="1" x14ac:dyDescent="0.2">
      <c r="A55" s="54" t="s">
        <v>85</v>
      </c>
      <c r="B55" s="55" t="s">
        <v>86</v>
      </c>
      <c r="C55" s="56">
        <f>+[6]BS17!$D12</f>
        <v>48572</v>
      </c>
      <c r="D55" s="57"/>
      <c r="E55" s="58">
        <f>+E56+E57+E58+E59+E60+E61+E65+E66+E67</f>
        <v>62450070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+[6]BS17!$D13</f>
        <v>18513</v>
      </c>
      <c r="D56" s="61"/>
      <c r="E56" s="62">
        <f>+[6]BS17A!V83</f>
        <v>17392390</v>
      </c>
      <c r="F56" s="8"/>
    </row>
    <row r="57" spans="1:7" ht="15" customHeight="1" x14ac:dyDescent="0.2">
      <c r="A57" s="22" t="s">
        <v>89</v>
      </c>
      <c r="B57" s="28" t="s">
        <v>90</v>
      </c>
      <c r="C57" s="24">
        <f>+[6]BS17!$D14</f>
        <v>19886</v>
      </c>
      <c r="D57" s="63"/>
      <c r="E57" s="64">
        <f>+[6]BS17A!V174</f>
        <v>21480980</v>
      </c>
      <c r="F57" s="8"/>
    </row>
    <row r="58" spans="1:7" ht="15" customHeight="1" x14ac:dyDescent="0.2">
      <c r="A58" s="22" t="s">
        <v>91</v>
      </c>
      <c r="B58" s="28" t="s">
        <v>92</v>
      </c>
      <c r="C58" s="24">
        <f>+[6]BS17!$D15</f>
        <v>1014</v>
      </c>
      <c r="D58" s="63"/>
      <c r="E58" s="64">
        <f>+[6]BS17A!V243</f>
        <v>3249900</v>
      </c>
      <c r="F58" s="8"/>
    </row>
    <row r="59" spans="1:7" ht="15" customHeight="1" x14ac:dyDescent="0.2">
      <c r="A59" s="22" t="s">
        <v>93</v>
      </c>
      <c r="B59" s="28" t="s">
        <v>94</v>
      </c>
      <c r="C59" s="24">
        <f>+[6]BS17!$D16</f>
        <v>0</v>
      </c>
      <c r="D59" s="63"/>
      <c r="E59" s="64">
        <f>+[6]BS17A!V289</f>
        <v>0</v>
      </c>
      <c r="F59" s="8"/>
    </row>
    <row r="60" spans="1:7" ht="15" customHeight="1" x14ac:dyDescent="0.2">
      <c r="A60" s="65" t="s">
        <v>95</v>
      </c>
      <c r="B60" s="30" t="s">
        <v>96</v>
      </c>
      <c r="C60" s="66">
        <f>+[6]BS17!$D17</f>
        <v>1062</v>
      </c>
      <c r="D60" s="67"/>
      <c r="E60" s="68">
        <f>+[6]BS17A!V295</f>
        <v>4496330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+[6]BS17!$D18</f>
        <v>5585</v>
      </c>
      <c r="D61" s="71"/>
      <c r="E61" s="72">
        <f>SUM(E62:E64)</f>
        <v>13000920</v>
      </c>
      <c r="F61" s="8"/>
    </row>
    <row r="62" spans="1:7" ht="15" customHeight="1" x14ac:dyDescent="0.2">
      <c r="A62" s="73"/>
      <c r="B62" s="42" t="s">
        <v>99</v>
      </c>
      <c r="C62" s="19">
        <f>+[6]BS17!$D19</f>
        <v>4576</v>
      </c>
      <c r="D62" s="74"/>
      <c r="E62" s="75">
        <f>+[6]BS17A!V362</f>
        <v>9316440</v>
      </c>
      <c r="F62" s="8"/>
    </row>
    <row r="63" spans="1:7" ht="15" customHeight="1" x14ac:dyDescent="0.2">
      <c r="A63" s="73"/>
      <c r="B63" s="28" t="s">
        <v>100</v>
      </c>
      <c r="C63" s="24">
        <f>+[6]BS17!$D20</f>
        <v>124</v>
      </c>
      <c r="D63" s="63"/>
      <c r="E63" s="64">
        <f>+[6]BS17A!V405</f>
        <v>358490</v>
      </c>
      <c r="F63" s="8"/>
    </row>
    <row r="64" spans="1:7" ht="15" customHeight="1" x14ac:dyDescent="0.2">
      <c r="A64" s="76"/>
      <c r="B64" s="43" t="s">
        <v>101</v>
      </c>
      <c r="C64" s="31">
        <f>+[6]BS17!$D21</f>
        <v>885</v>
      </c>
      <c r="D64" s="77"/>
      <c r="E64" s="78">
        <f>+[6]BS17A!V428</f>
        <v>3325990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+[6]BS17!$D22</f>
        <v>0</v>
      </c>
      <c r="D65" s="61"/>
      <c r="E65" s="62">
        <f>+[6]BS17A!V446</f>
        <v>0</v>
      </c>
      <c r="F65" s="8"/>
    </row>
    <row r="66" spans="1:7" ht="15" customHeight="1" x14ac:dyDescent="0.2">
      <c r="A66" s="22" t="s">
        <v>104</v>
      </c>
      <c r="B66" s="28" t="s">
        <v>105</v>
      </c>
      <c r="C66" s="24">
        <f>+[6]BS17!$D23</f>
        <v>53</v>
      </c>
      <c r="D66" s="63"/>
      <c r="E66" s="64">
        <f>+[6]BS17A!V456</f>
        <v>106510</v>
      </c>
      <c r="F66" s="8"/>
    </row>
    <row r="67" spans="1:7" ht="15" customHeight="1" x14ac:dyDescent="0.2">
      <c r="A67" s="65" t="s">
        <v>106</v>
      </c>
      <c r="B67" s="30" t="s">
        <v>107</v>
      </c>
      <c r="C67" s="66">
        <f>+[6]BS17!$D24</f>
        <v>2459</v>
      </c>
      <c r="D67" s="67"/>
      <c r="E67" s="68">
        <f>+[6]BS17A!V500</f>
        <v>2723040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+[6]BS17!$D25</f>
        <v>3855</v>
      </c>
      <c r="D68" s="83"/>
      <c r="E68" s="84">
        <f>SUM(E69:E74)</f>
        <v>47781240</v>
      </c>
      <c r="F68" s="8"/>
    </row>
    <row r="69" spans="1:7" ht="15" customHeight="1" x14ac:dyDescent="0.2">
      <c r="A69" s="22" t="s">
        <v>110</v>
      </c>
      <c r="B69" s="28" t="s">
        <v>111</v>
      </c>
      <c r="C69" s="24">
        <f>+[6]BS17!$D26</f>
        <v>2577</v>
      </c>
      <c r="D69" s="63"/>
      <c r="E69" s="64">
        <f>+[6]BS17A!V535</f>
        <v>18741090</v>
      </c>
      <c r="F69" s="8"/>
    </row>
    <row r="70" spans="1:7" ht="15" customHeight="1" x14ac:dyDescent="0.2">
      <c r="A70" s="22" t="s">
        <v>112</v>
      </c>
      <c r="B70" s="28" t="s">
        <v>113</v>
      </c>
      <c r="C70" s="24">
        <f>+[6]BS17!$D27</f>
        <v>4</v>
      </c>
      <c r="D70" s="63"/>
      <c r="E70" s="64">
        <f>+[6]BS17A!V590</f>
        <v>85480</v>
      </c>
      <c r="F70" s="8"/>
    </row>
    <row r="71" spans="1:7" ht="15" customHeight="1" x14ac:dyDescent="0.2">
      <c r="A71" s="22" t="s">
        <v>114</v>
      </c>
      <c r="B71" s="28" t="s">
        <v>115</v>
      </c>
      <c r="C71" s="24">
        <f>+[6]BS17!$D28</f>
        <v>345</v>
      </c>
      <c r="D71" s="63"/>
      <c r="E71" s="64">
        <f>+[6]BS17A!V615</f>
        <v>15936910</v>
      </c>
      <c r="F71" s="8"/>
    </row>
    <row r="72" spans="1:7" ht="15" customHeight="1" x14ac:dyDescent="0.2">
      <c r="A72" s="22" t="s">
        <v>116</v>
      </c>
      <c r="B72" s="28" t="s">
        <v>117</v>
      </c>
      <c r="C72" s="24">
        <f>+[6]BS17!$D30+[6]BS17!$D32</f>
        <v>929</v>
      </c>
      <c r="D72" s="63"/>
      <c r="E72" s="64">
        <f>+[6]BS17A!V633-[6]BS17A!V634</f>
        <v>13017760</v>
      </c>
      <c r="F72" s="8"/>
    </row>
    <row r="73" spans="1:7" ht="15" customHeight="1" x14ac:dyDescent="0.2">
      <c r="A73" s="85"/>
      <c r="B73" s="28" t="s">
        <v>118</v>
      </c>
      <c r="C73" s="24">
        <f>+[6]BS17!$D31</f>
        <v>0</v>
      </c>
      <c r="D73" s="63"/>
      <c r="E73" s="64">
        <f>+[6]BS17A!V634</f>
        <v>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+[6]BS17!$D33</f>
        <v>0</v>
      </c>
      <c r="D74" s="89"/>
      <c r="E74" s="90">
        <f>+[6]BS17A!V654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+[6]BS17!$D34</f>
        <v>0</v>
      </c>
      <c r="D75" s="94"/>
      <c r="E75" s="95">
        <f>+[6]BS17A!V779</f>
        <v>0</v>
      </c>
      <c r="F75" s="8"/>
    </row>
    <row r="76" spans="1:7" ht="15" customHeight="1" x14ac:dyDescent="0.2">
      <c r="A76" s="96"/>
      <c r="B76" s="97" t="s">
        <v>123</v>
      </c>
      <c r="C76" s="56">
        <f>+C55+C68+C75</f>
        <v>52427</v>
      </c>
      <c r="D76" s="57"/>
      <c r="E76" s="98">
        <f>+E55+E68+E75</f>
        <v>110231310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256" t="s">
        <v>124</v>
      </c>
      <c r="B79" s="252"/>
      <c r="C79" s="252"/>
      <c r="D79" s="252"/>
      <c r="E79" s="253"/>
      <c r="F79" s="51"/>
      <c r="G79" s="52"/>
    </row>
    <row r="80" spans="1:7" ht="38.25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19">
        <f>+[6]BS17!D49</f>
        <v>0</v>
      </c>
      <c r="D81" s="61"/>
      <c r="E81" s="103">
        <f>+SUM([6]BS17A!V670+[6]BS17A!V697+[6]BS17A!V716+[6]BS17A!V723+[6]BS17A!V726+[6]BS17A!V743+[6]BS17A!V760)</f>
        <v>0</v>
      </c>
      <c r="F81" s="8"/>
    </row>
    <row r="82" spans="1:6" ht="15" customHeight="1" x14ac:dyDescent="0.2">
      <c r="A82" s="104">
        <v>2001</v>
      </c>
      <c r="B82" s="28" t="s">
        <v>127</v>
      </c>
      <c r="C82" s="24">
        <f>+[6]BS17!E120</f>
        <v>1003</v>
      </c>
      <c r="D82" s="63"/>
      <c r="E82" s="105">
        <f>+[6]BS17A!V1562</f>
        <v>7527460</v>
      </c>
      <c r="F82" s="8"/>
    </row>
    <row r="83" spans="1:6" ht="15" customHeight="1" x14ac:dyDescent="0.2">
      <c r="A83" s="65" t="s">
        <v>128</v>
      </c>
      <c r="B83" s="30" t="s">
        <v>129</v>
      </c>
      <c r="C83" s="66">
        <f>+[6]BS17A!D1837</f>
        <v>21</v>
      </c>
      <c r="D83" s="67"/>
      <c r="E83" s="106">
        <f>+[6]BS17A!V1837</f>
        <v>1440400</v>
      </c>
      <c r="F83" s="8"/>
    </row>
    <row r="84" spans="1:6" ht="17.25" customHeight="1" x14ac:dyDescent="0.2">
      <c r="A84" s="96"/>
      <c r="B84" s="97" t="s">
        <v>130</v>
      </c>
      <c r="C84" s="56">
        <f>+SUM(C81:C83)</f>
        <v>1024</v>
      </c>
      <c r="D84" s="57"/>
      <c r="E84" s="107">
        <f>SUM(E81:E83)</f>
        <v>8967860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239" t="s">
        <v>131</v>
      </c>
      <c r="B87" s="240"/>
      <c r="C87" s="240"/>
      <c r="D87" s="240"/>
      <c r="E87" s="240"/>
      <c r="F87" s="241"/>
    </row>
    <row r="88" spans="1:6" ht="33.75" customHeight="1" x14ac:dyDescent="0.15">
      <c r="A88" s="260" t="s">
        <v>8</v>
      </c>
      <c r="B88" s="260" t="s">
        <v>9</v>
      </c>
      <c r="C88" s="242" t="s">
        <v>10</v>
      </c>
      <c r="D88" s="243"/>
      <c r="E88" s="243"/>
      <c r="F88" s="244"/>
    </row>
    <row r="89" spans="1:6" ht="35.25" customHeight="1" x14ac:dyDescent="0.15">
      <c r="A89" s="261"/>
      <c r="B89" s="261"/>
      <c r="C89" s="99" t="s">
        <v>132</v>
      </c>
      <c r="D89" s="108" t="s">
        <v>133</v>
      </c>
      <c r="E89" s="13" t="s">
        <v>134</v>
      </c>
      <c r="F89" s="1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+[6]BS17!F66</f>
        <v>0</v>
      </c>
      <c r="D90" s="110">
        <f>+[6]BS17!G66</f>
        <v>0</v>
      </c>
      <c r="E90" s="111">
        <f>+[6]BS17!H66</f>
        <v>0</v>
      </c>
      <c r="F90" s="112">
        <f>[6]BS17A!V807</f>
        <v>0</v>
      </c>
    </row>
    <row r="91" spans="1:6" ht="15" customHeight="1" x14ac:dyDescent="0.2">
      <c r="A91" s="22" t="s">
        <v>137</v>
      </c>
      <c r="B91" s="28" t="s">
        <v>138</v>
      </c>
      <c r="C91" s="113">
        <f>+[6]BS17!F67</f>
        <v>90</v>
      </c>
      <c r="D91" s="114">
        <f>+[6]BS17!G67</f>
        <v>0</v>
      </c>
      <c r="E91" s="115">
        <f>+[6]BS17!H67</f>
        <v>0</v>
      </c>
      <c r="F91" s="116">
        <f>[6]BS17A!V878</f>
        <v>38284450</v>
      </c>
    </row>
    <row r="92" spans="1:6" ht="15" customHeight="1" x14ac:dyDescent="0.2">
      <c r="A92" s="22" t="s">
        <v>139</v>
      </c>
      <c r="B92" s="28" t="s">
        <v>140</v>
      </c>
      <c r="C92" s="113">
        <f>+[6]BS17!F68</f>
        <v>19</v>
      </c>
      <c r="D92" s="114">
        <f>+[6]BS17!G68</f>
        <v>0</v>
      </c>
      <c r="E92" s="115">
        <f>+[6]BS17!H68</f>
        <v>0</v>
      </c>
      <c r="F92" s="116">
        <f>[6]BS17A!V957</f>
        <v>1147990</v>
      </c>
    </row>
    <row r="93" spans="1:6" ht="15" customHeight="1" x14ac:dyDescent="0.2">
      <c r="A93" s="22" t="s">
        <v>141</v>
      </c>
      <c r="B93" s="28" t="s">
        <v>142</v>
      </c>
      <c r="C93" s="113">
        <f>+[6]BS17!F69</f>
        <v>1</v>
      </c>
      <c r="D93" s="114">
        <f>+[6]BS17!G69</f>
        <v>0</v>
      </c>
      <c r="E93" s="115">
        <f>+[6]BS17!H69</f>
        <v>0</v>
      </c>
      <c r="F93" s="116">
        <f>[6]BS17A!V1033</f>
        <v>21390</v>
      </c>
    </row>
    <row r="94" spans="1:6" ht="15" customHeight="1" x14ac:dyDescent="0.2">
      <c r="A94" s="22" t="s">
        <v>143</v>
      </c>
      <c r="B94" s="28" t="s">
        <v>144</v>
      </c>
      <c r="C94" s="113">
        <f>+[6]BS17!F70</f>
        <v>85</v>
      </c>
      <c r="D94" s="114">
        <f>+[6]BS17!G70</f>
        <v>2</v>
      </c>
      <c r="E94" s="115">
        <f>+[6]BS17!H70</f>
        <v>0</v>
      </c>
      <c r="F94" s="116">
        <f>[6]BS17A!V1094</f>
        <v>4934890</v>
      </c>
    </row>
    <row r="95" spans="1:6" ht="15" customHeight="1" x14ac:dyDescent="0.2">
      <c r="A95" s="22" t="s">
        <v>145</v>
      </c>
      <c r="B95" s="28" t="s">
        <v>146</v>
      </c>
      <c r="C95" s="113">
        <f>+[6]BS17!F71</f>
        <v>104</v>
      </c>
      <c r="D95" s="114">
        <f>+[6]BS17!G71</f>
        <v>7</v>
      </c>
      <c r="E95" s="115">
        <f>+[6]BS17!H71</f>
        <v>0</v>
      </c>
      <c r="F95" s="116">
        <f>[6]BS17A!V1162</f>
        <v>2950140</v>
      </c>
    </row>
    <row r="96" spans="1:6" ht="15" customHeight="1" x14ac:dyDescent="0.2">
      <c r="A96" s="22" t="s">
        <v>147</v>
      </c>
      <c r="B96" s="28" t="s">
        <v>148</v>
      </c>
      <c r="C96" s="113">
        <f>+[6]BS17!F72</f>
        <v>2</v>
      </c>
      <c r="D96" s="114">
        <f>+[6]BS17!G72</f>
        <v>0</v>
      </c>
      <c r="E96" s="115">
        <f>+[6]BS17!H72</f>
        <v>0</v>
      </c>
      <c r="F96" s="116">
        <f>[6]BS17A!V1210</f>
        <v>423350</v>
      </c>
    </row>
    <row r="97" spans="1:6" ht="15" customHeight="1" x14ac:dyDescent="0.2">
      <c r="A97" s="22" t="s">
        <v>149</v>
      </c>
      <c r="B97" s="28" t="s">
        <v>150</v>
      </c>
      <c r="C97" s="113">
        <f>+[6]BS17!F73</f>
        <v>3</v>
      </c>
      <c r="D97" s="114">
        <f>+[6]BS17!G73</f>
        <v>0</v>
      </c>
      <c r="E97" s="115">
        <f>+[6]BS17!H73</f>
        <v>0</v>
      </c>
      <c r="F97" s="116">
        <f>[6]BS17A!V1276</f>
        <v>144870</v>
      </c>
    </row>
    <row r="98" spans="1:6" ht="15" customHeight="1" x14ac:dyDescent="0.2">
      <c r="A98" s="22" t="s">
        <v>151</v>
      </c>
      <c r="B98" s="28" t="s">
        <v>152</v>
      </c>
      <c r="C98" s="113">
        <f>+[6]BS17!F74</f>
        <v>163</v>
      </c>
      <c r="D98" s="114">
        <f>+[6]BS17!G74</f>
        <v>11</v>
      </c>
      <c r="E98" s="115">
        <f>+[6]BS17!H74</f>
        <v>0</v>
      </c>
      <c r="F98" s="116">
        <f>[6]BS17A!V1346</f>
        <v>39884815</v>
      </c>
    </row>
    <row r="99" spans="1:6" ht="15" customHeight="1" x14ac:dyDescent="0.2">
      <c r="A99" s="22" t="s">
        <v>153</v>
      </c>
      <c r="B99" s="28" t="s">
        <v>154</v>
      </c>
      <c r="C99" s="113">
        <f>+[6]BS17!F75</f>
        <v>10</v>
      </c>
      <c r="D99" s="114">
        <f>+[6]BS17!G75</f>
        <v>0</v>
      </c>
      <c r="E99" s="115">
        <f>+[6]BS17!H75</f>
        <v>0</v>
      </c>
      <c r="F99" s="116">
        <f>[6]BS17A!V1430</f>
        <v>689990</v>
      </c>
    </row>
    <row r="100" spans="1:6" ht="15" customHeight="1" x14ac:dyDescent="0.2">
      <c r="A100" s="22" t="s">
        <v>155</v>
      </c>
      <c r="B100" s="28" t="s">
        <v>156</v>
      </c>
      <c r="C100" s="113">
        <f>+[6]BS17!F76</f>
        <v>29</v>
      </c>
      <c r="D100" s="114">
        <f>+[6]BS17!G76</f>
        <v>3</v>
      </c>
      <c r="E100" s="115">
        <f>+[6]BS17!H76</f>
        <v>0</v>
      </c>
      <c r="F100" s="116">
        <f>[6]BS17A!V1477</f>
        <v>5269685</v>
      </c>
    </row>
    <row r="101" spans="1:6" ht="15" customHeight="1" x14ac:dyDescent="0.2">
      <c r="A101" s="22" t="s">
        <v>157</v>
      </c>
      <c r="B101" s="28" t="s">
        <v>158</v>
      </c>
      <c r="C101" s="113">
        <f>+[6]BS17!F77</f>
        <v>9</v>
      </c>
      <c r="D101" s="114">
        <f>+[6]BS17!G77</f>
        <v>0</v>
      </c>
      <c r="E101" s="115">
        <f>+[6]BS17!H77</f>
        <v>0</v>
      </c>
      <c r="F101" s="116">
        <f>[6]BS17A!V1580</f>
        <v>1405280</v>
      </c>
    </row>
    <row r="102" spans="1:6" ht="15" customHeight="1" x14ac:dyDescent="0.2">
      <c r="A102" s="65" t="s">
        <v>159</v>
      </c>
      <c r="B102" s="30" t="s">
        <v>160</v>
      </c>
      <c r="C102" s="117">
        <f>+[6]BS17!F78</f>
        <v>30</v>
      </c>
      <c r="D102" s="118">
        <f>+[6]BS17!G78</f>
        <v>3</v>
      </c>
      <c r="E102" s="119">
        <f>+[6]BS17!H78</f>
        <v>0</v>
      </c>
      <c r="F102" s="120">
        <f>[6]BS17A!V1585</f>
        <v>5145825</v>
      </c>
    </row>
    <row r="103" spans="1:6" ht="15" customHeight="1" x14ac:dyDescent="0.2">
      <c r="A103" s="17" t="s">
        <v>161</v>
      </c>
      <c r="B103" s="36" t="s">
        <v>162</v>
      </c>
      <c r="C103" s="109">
        <f>+[6]BS17!F79</f>
        <v>78</v>
      </c>
      <c r="D103" s="110">
        <f>+[6]BS17!G79</f>
        <v>1</v>
      </c>
      <c r="E103" s="111">
        <f>+[6]BS17!H79</f>
        <v>0</v>
      </c>
      <c r="F103" s="112">
        <f>+[6]BS17A!V1619</f>
        <v>8568540</v>
      </c>
    </row>
    <row r="104" spans="1:6" ht="15" customHeight="1" x14ac:dyDescent="0.2">
      <c r="A104" s="22"/>
      <c r="B104" s="28" t="s">
        <v>163</v>
      </c>
      <c r="C104" s="113">
        <f>+[6]BS17A!D1623</f>
        <v>0</v>
      </c>
      <c r="D104" s="114">
        <f>+[6]BS17A!F1623</f>
        <v>0</v>
      </c>
      <c r="E104" s="115">
        <f>+[6]BS17A!G1623</f>
        <v>0</v>
      </c>
      <c r="F104" s="116">
        <f>+[6]BS17A!V1623</f>
        <v>0</v>
      </c>
    </row>
    <row r="105" spans="1:6" ht="15" customHeight="1" x14ac:dyDescent="0.2">
      <c r="A105" s="22"/>
      <c r="B105" s="28" t="s">
        <v>164</v>
      </c>
      <c r="C105" s="113">
        <f>+[6]BS17A!D1622</f>
        <v>53</v>
      </c>
      <c r="D105" s="114">
        <f>+[6]BS17A!F1622</f>
        <v>0</v>
      </c>
      <c r="E105" s="115">
        <f>+[6]BS17A!G1622</f>
        <v>0</v>
      </c>
      <c r="F105" s="116">
        <f>+[6]BS17A!V1622</f>
        <v>6272550</v>
      </c>
    </row>
    <row r="106" spans="1:6" ht="15" customHeight="1" x14ac:dyDescent="0.2">
      <c r="A106" s="29"/>
      <c r="B106" s="39" t="s">
        <v>165</v>
      </c>
      <c r="C106" s="121">
        <f>+[6]BS17A!D1620+[6]BS17A!D1621</f>
        <v>25</v>
      </c>
      <c r="D106" s="122">
        <f>+[6]BS17A!F1620+[6]BS17A!F1621</f>
        <v>1</v>
      </c>
      <c r="E106" s="123">
        <f>+[6]BS17A!G1620+[6]BS17A!G1621</f>
        <v>0</v>
      </c>
      <c r="F106" s="124">
        <f>+[6]BS17A!V1620+[6]BS17A!V1621</f>
        <v>2295990</v>
      </c>
    </row>
    <row r="107" spans="1:6" ht="15" customHeight="1" x14ac:dyDescent="0.2">
      <c r="A107" s="59" t="s">
        <v>166</v>
      </c>
      <c r="B107" s="79" t="s">
        <v>167</v>
      </c>
      <c r="C107" s="125">
        <f>+[6]BS17!F80</f>
        <v>44</v>
      </c>
      <c r="D107" s="126">
        <f>+[6]BS17!G80</f>
        <v>0</v>
      </c>
      <c r="E107" s="127">
        <f>+[6]BS17!H80</f>
        <v>0</v>
      </c>
      <c r="F107" s="128">
        <f>+[6]BS17A!V1627</f>
        <v>6484080</v>
      </c>
    </row>
    <row r="108" spans="1:6" ht="15" customHeight="1" x14ac:dyDescent="0.2">
      <c r="A108" s="129">
        <v>2106</v>
      </c>
      <c r="B108" s="39" t="s">
        <v>168</v>
      </c>
      <c r="C108" s="121">
        <f>[6]BS17A!D1833</f>
        <v>9</v>
      </c>
      <c r="D108" s="122">
        <f>[6]BS17A!F1833</f>
        <v>0</v>
      </c>
      <c r="E108" s="123">
        <f>[6]BS17A!G1833</f>
        <v>0</v>
      </c>
      <c r="F108" s="124">
        <f>+[6]BS17A!V1833</f>
        <v>445410</v>
      </c>
    </row>
    <row r="109" spans="1:6" ht="15" customHeight="1" x14ac:dyDescent="0.2">
      <c r="A109" s="130"/>
      <c r="B109" s="131" t="s">
        <v>169</v>
      </c>
      <c r="C109" s="132">
        <f>SUM(C90:C108)-C103</f>
        <v>676</v>
      </c>
      <c r="D109" s="133">
        <f>SUM(D90:D108)-D103</f>
        <v>27</v>
      </c>
      <c r="E109" s="134">
        <f>+SUM(E90:E103)+E107+E108</f>
        <v>0</v>
      </c>
      <c r="F109" s="135">
        <f>+SUM(F90:F103)+F107+F108</f>
        <v>115800705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256" t="s">
        <v>170</v>
      </c>
      <c r="B112" s="252"/>
      <c r="C112" s="252"/>
      <c r="D112" s="252"/>
      <c r="E112" s="253"/>
      <c r="F112" s="5"/>
    </row>
    <row r="113" spans="1:6" ht="38.25" x14ac:dyDescent="0.2">
      <c r="A113" s="11" t="s">
        <v>8</v>
      </c>
      <c r="B113" s="11" t="s">
        <v>9</v>
      </c>
      <c r="C113" s="12" t="s">
        <v>10</v>
      </c>
      <c r="D113" s="13" t="s">
        <v>11</v>
      </c>
      <c r="E113" s="1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19">
        <f>+[6]BS17A!D1624</f>
        <v>81</v>
      </c>
      <c r="D114" s="136">
        <f>+[6]BS17A!U1624</f>
        <v>118340</v>
      </c>
      <c r="E114" s="137">
        <f>+[6]BS17A!V1624</f>
        <v>9585540</v>
      </c>
      <c r="F114" s="8"/>
    </row>
    <row r="115" spans="1:6" ht="15" customHeight="1" x14ac:dyDescent="0.2">
      <c r="A115" s="29" t="s">
        <v>173</v>
      </c>
      <c r="B115" s="138" t="s">
        <v>174</v>
      </c>
      <c r="C115" s="66">
        <f>+[6]BS17A!D1625</f>
        <v>1</v>
      </c>
      <c r="D115" s="139">
        <f>+[6]BS17A!U1625</f>
        <v>124520</v>
      </c>
      <c r="E115" s="106">
        <f>+[6]BS17A!V1625</f>
        <v>124520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82</v>
      </c>
      <c r="D116" s="57"/>
      <c r="E116" s="107">
        <f>SUM(E114:E115)</f>
        <v>9710060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262" t="s">
        <v>176</v>
      </c>
      <c r="B119" s="262"/>
      <c r="C119" s="262"/>
      <c r="D119" s="8"/>
      <c r="E119" s="8"/>
      <c r="F119" s="5"/>
    </row>
    <row r="120" spans="1:6" ht="28.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+[6]BS17A!V1859+[6]BS17A!V1876+[6]BS17A!V1895</f>
        <v>14768530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256" t="s">
        <v>179</v>
      </c>
      <c r="B124" s="252"/>
      <c r="C124" s="252"/>
      <c r="D124" s="252"/>
      <c r="E124" s="253"/>
      <c r="F124" s="5"/>
    </row>
    <row r="125" spans="1:6" ht="38.25" x14ac:dyDescent="0.2">
      <c r="A125" s="11" t="s">
        <v>8</v>
      </c>
      <c r="B125" s="11" t="s">
        <v>9</v>
      </c>
      <c r="C125" s="12" t="s">
        <v>10</v>
      </c>
      <c r="D125" s="13" t="s">
        <v>11</v>
      </c>
      <c r="E125" s="1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19">
        <f>+[6]BS17A!$D59</f>
        <v>5360</v>
      </c>
      <c r="D126" s="37">
        <f>+[6]BS17A!$U59</f>
        <v>30310</v>
      </c>
      <c r="E126" s="145">
        <f>+[6]BS17A!$V59</f>
        <v>162461600</v>
      </c>
      <c r="F126" s="8"/>
    </row>
    <row r="127" spans="1:6" ht="15" customHeight="1" x14ac:dyDescent="0.2">
      <c r="A127" s="22" t="s">
        <v>182</v>
      </c>
      <c r="B127" s="23" t="s">
        <v>183</v>
      </c>
      <c r="C127" s="24">
        <f>+[6]BS17A!$D60</f>
        <v>0</v>
      </c>
      <c r="D127" s="25">
        <f>+[6]BS17A!$U60</f>
        <v>27900</v>
      </c>
      <c r="E127" s="146">
        <f>+[6]BS17A!$V60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24">
        <f>+[6]BS17A!$D61</f>
        <v>0</v>
      </c>
      <c r="D128" s="25">
        <f>+[6]BS17A!$U61</f>
        <v>23260</v>
      </c>
      <c r="E128" s="146">
        <f>+[6]BS17A!$V61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24">
        <f>SUM([6]BS17A!D62:D64)</f>
        <v>0</v>
      </c>
      <c r="D129" s="25">
        <f>+[6]BS17A!$U62</f>
        <v>126000</v>
      </c>
      <c r="E129" s="146">
        <f>SUM([6]BS17A!V62:V64)</f>
        <v>0</v>
      </c>
      <c r="F129" s="8"/>
    </row>
    <row r="130" spans="1:6" ht="15" customHeight="1" x14ac:dyDescent="0.2">
      <c r="A130" s="22" t="s">
        <v>188</v>
      </c>
      <c r="B130" s="23" t="s">
        <v>189</v>
      </c>
      <c r="C130" s="24">
        <f>SUM([6]BS17A!D65:D67)</f>
        <v>333</v>
      </c>
      <c r="D130" s="25">
        <f>+[6]BS17A!$U65</f>
        <v>60860</v>
      </c>
      <c r="E130" s="146">
        <f>SUM([6]BS17A!V65:V67)</f>
        <v>20266380</v>
      </c>
      <c r="F130" s="8"/>
    </row>
    <row r="131" spans="1:6" ht="15" customHeight="1" x14ac:dyDescent="0.2">
      <c r="A131" s="22" t="s">
        <v>190</v>
      </c>
      <c r="B131" s="23" t="s">
        <v>191</v>
      </c>
      <c r="C131" s="24">
        <f>+[6]BS17A!D68</f>
        <v>200</v>
      </c>
      <c r="D131" s="25">
        <f>+[6]BS17A!$U68</f>
        <v>54600</v>
      </c>
      <c r="E131" s="146">
        <f>+[6]BS17A!$V68</f>
        <v>10920000</v>
      </c>
      <c r="F131" s="8"/>
    </row>
    <row r="132" spans="1:6" ht="15" customHeight="1" x14ac:dyDescent="0.2">
      <c r="A132" s="22" t="s">
        <v>192</v>
      </c>
      <c r="B132" s="23" t="s">
        <v>193</v>
      </c>
      <c r="C132" s="24">
        <f>+[6]BS17A!$D69</f>
        <v>0</v>
      </c>
      <c r="D132" s="25">
        <f>+[6]BS17A!$U69</f>
        <v>15500</v>
      </c>
      <c r="E132" s="146">
        <f>+[6]BS17A!$V69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24">
        <f>+[6]BS17A!$D70</f>
        <v>0</v>
      </c>
      <c r="D133" s="25">
        <f>+[6]BS17A!$U70</f>
        <v>24280</v>
      </c>
      <c r="E133" s="146">
        <f>+[6]BS17A!$V70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24">
        <f>+[6]BS17A!$D73</f>
        <v>0</v>
      </c>
      <c r="D134" s="25">
        <f>+[6]BS17A!$U73</f>
        <v>24470</v>
      </c>
      <c r="E134" s="146">
        <f>+[6]BS17A!$V73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24">
        <f>+[6]BS17A!$D71</f>
        <v>0</v>
      </c>
      <c r="D135" s="25">
        <f>+[6]BS17A!$U71</f>
        <v>25270</v>
      </c>
      <c r="E135" s="146">
        <f>+[6]BS17A!$V71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24">
        <f>+[6]BS17A!$D76</f>
        <v>0</v>
      </c>
      <c r="D136" s="25">
        <f>+[6]BS17A!$U76</f>
        <v>30310</v>
      </c>
      <c r="E136" s="146">
        <f>+[6]BS17A!$V76</f>
        <v>0</v>
      </c>
      <c r="F136" s="8"/>
    </row>
    <row r="137" spans="1:6" ht="15" customHeight="1" x14ac:dyDescent="0.2">
      <c r="A137" s="22" t="s">
        <v>202</v>
      </c>
      <c r="B137" s="28" t="s">
        <v>203</v>
      </c>
      <c r="C137" s="24">
        <f>+[6]BS17A!$D79</f>
        <v>43</v>
      </c>
      <c r="D137" s="25">
        <f>+[6]BS17A!$U79</f>
        <v>5880</v>
      </c>
      <c r="E137" s="146">
        <f>+[6]BS17A!$V79</f>
        <v>252840</v>
      </c>
      <c r="F137" s="8"/>
    </row>
    <row r="138" spans="1:6" ht="15" customHeight="1" x14ac:dyDescent="0.2">
      <c r="A138" s="22" t="s">
        <v>204</v>
      </c>
      <c r="B138" s="28" t="s">
        <v>205</v>
      </c>
      <c r="C138" s="24">
        <f>+[6]BS17A!$D80</f>
        <v>0</v>
      </c>
      <c r="D138" s="25">
        <f>+[6]BS17A!$U80</f>
        <v>42470</v>
      </c>
      <c r="E138" s="146">
        <f>+[6]BS17A!$V80</f>
        <v>0</v>
      </c>
      <c r="F138" s="8"/>
    </row>
    <row r="139" spans="1:6" ht="15" customHeight="1" x14ac:dyDescent="0.2">
      <c r="A139" s="29"/>
      <c r="B139" s="147" t="s">
        <v>206</v>
      </c>
      <c r="C139" s="148">
        <f>SUM(C126:C138)</f>
        <v>5936</v>
      </c>
      <c r="D139" s="149"/>
      <c r="E139" s="150">
        <f>SUM(E126:E138)</f>
        <v>193900820</v>
      </c>
      <c r="F139" s="8"/>
    </row>
    <row r="140" spans="1:6" ht="15" customHeight="1" x14ac:dyDescent="0.2">
      <c r="A140" s="17"/>
      <c r="B140" s="81" t="s">
        <v>207</v>
      </c>
      <c r="C140" s="19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24">
        <f>+[6]BS17A!$D72</f>
        <v>0</v>
      </c>
      <c r="D141" s="25">
        <f>+[6]BS17A!$U72</f>
        <v>10190</v>
      </c>
      <c r="E141" s="146">
        <f>+[6]BS17A!$V72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24">
        <f>+[6]BS17A!$D74</f>
        <v>0</v>
      </c>
      <c r="D142" s="25">
        <f>+[6]BS17A!$U74</f>
        <v>10190</v>
      </c>
      <c r="E142" s="146">
        <f>+[6]BS17A!$V74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24">
        <f>+[6]BS17A!$D75</f>
        <v>29</v>
      </c>
      <c r="D143" s="25">
        <f>+[6]BS17A!$U75</f>
        <v>4490</v>
      </c>
      <c r="E143" s="146">
        <f>+[6]BS17A!$V75</f>
        <v>130210</v>
      </c>
      <c r="F143" s="8"/>
    </row>
    <row r="144" spans="1:6" ht="15" customHeight="1" x14ac:dyDescent="0.2">
      <c r="A144" s="22" t="s">
        <v>214</v>
      </c>
      <c r="B144" s="23" t="s">
        <v>215</v>
      </c>
      <c r="C144" s="24">
        <f>+[6]BS17A!$D77</f>
        <v>0</v>
      </c>
      <c r="D144" s="25">
        <f>+[6]BS17A!$U77</f>
        <v>81940</v>
      </c>
      <c r="E144" s="146">
        <f>+[6]BS17A!$V77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24">
        <f>+[6]BS17A!$D78</f>
        <v>0</v>
      </c>
      <c r="D145" s="25">
        <f>+[6]BS17A!$U78</f>
        <v>9670</v>
      </c>
      <c r="E145" s="146">
        <f>+[6]BS17A!$V78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24">
        <f>+[6]BS17A!$D81</f>
        <v>0</v>
      </c>
      <c r="D146" s="25">
        <f>+[6]BS17A!$U81</f>
        <v>7450</v>
      </c>
      <c r="E146" s="146">
        <f>+[6]BS17A!$V81</f>
        <v>0</v>
      </c>
      <c r="F146" s="8"/>
    </row>
    <row r="147" spans="1:6" ht="15" customHeight="1" x14ac:dyDescent="0.2">
      <c r="A147" s="29"/>
      <c r="B147" s="147" t="s">
        <v>220</v>
      </c>
      <c r="C147" s="148">
        <f>SUM(C141:C146)</f>
        <v>29</v>
      </c>
      <c r="D147" s="149"/>
      <c r="E147" s="150">
        <f>SUM(E141:E146)</f>
        <v>130210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5965</v>
      </c>
      <c r="D148" s="151"/>
      <c r="E148" s="152">
        <f>+E139+E147</f>
        <v>194031030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239" t="s">
        <v>222</v>
      </c>
      <c r="B151" s="240"/>
      <c r="C151" s="240"/>
      <c r="D151" s="240"/>
      <c r="E151" s="241"/>
      <c r="F151" s="5"/>
    </row>
    <row r="152" spans="1:6" ht="36" customHeight="1" x14ac:dyDescent="0.2">
      <c r="A152" s="11" t="s">
        <v>8</v>
      </c>
      <c r="B152" s="11" t="s">
        <v>9</v>
      </c>
      <c r="C152" s="12" t="s">
        <v>10</v>
      </c>
      <c r="D152" s="13" t="s">
        <v>11</v>
      </c>
      <c r="E152" s="1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19">
        <f>+[6]BS17A!D43</f>
        <v>2855</v>
      </c>
      <c r="D153" s="37">
        <f>[6]BS17A!U43</f>
        <v>700</v>
      </c>
      <c r="E153" s="145">
        <f>+[6]BS17A!V43</f>
        <v>1998500</v>
      </c>
      <c r="F153" s="8"/>
    </row>
    <row r="154" spans="1:6" ht="15" customHeight="1" x14ac:dyDescent="0.2">
      <c r="A154" s="29" t="s">
        <v>225</v>
      </c>
      <c r="B154" s="43" t="s">
        <v>226</v>
      </c>
      <c r="C154" s="31">
        <f>+[6]BS17A!D44+[6]BS17A!D45</f>
        <v>0</v>
      </c>
      <c r="D154" s="40">
        <f>[6]BS17A!U44</f>
        <v>100</v>
      </c>
      <c r="E154" s="153">
        <f>+[6]BS17A!V44+[6]BS17A!V45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2855</v>
      </c>
      <c r="D155" s="151"/>
      <c r="E155" s="152">
        <f>SUM(E153:E154)</f>
        <v>1998500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239" t="s">
        <v>228</v>
      </c>
      <c r="B158" s="240"/>
      <c r="C158" s="240"/>
      <c r="D158" s="240"/>
      <c r="E158" s="241"/>
      <c r="F158" s="5"/>
    </row>
    <row r="159" spans="1:6" ht="47.25" customHeight="1" x14ac:dyDescent="0.2">
      <c r="A159" s="11" t="s">
        <v>8</v>
      </c>
      <c r="B159" s="11" t="s">
        <v>9</v>
      </c>
      <c r="C159" s="12" t="s">
        <v>10</v>
      </c>
      <c r="D159" s="13" t="s">
        <v>11</v>
      </c>
      <c r="E159" s="1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+[6]BS17A!$D1470</f>
        <v>0</v>
      </c>
      <c r="D160" s="37">
        <f>+[6]BS17A!$U1470</f>
        <v>38160</v>
      </c>
      <c r="E160" s="145">
        <f>+[6]BS17A!$V1470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+[6]BS17A!$D1471</f>
        <v>0</v>
      </c>
      <c r="D161" s="25">
        <f>+[6]BS17A!$U1471</f>
        <v>24000</v>
      </c>
      <c r="E161" s="146">
        <f>+[6]BS17A!$V1471</f>
        <v>0</v>
      </c>
      <c r="F161" s="8"/>
    </row>
    <row r="162" spans="1:6" ht="15" customHeight="1" x14ac:dyDescent="0.2">
      <c r="A162" s="22" t="s">
        <v>233</v>
      </c>
      <c r="B162" s="28" t="s">
        <v>234</v>
      </c>
      <c r="C162" s="155">
        <f>+[6]BS17A!$D1472</f>
        <v>0</v>
      </c>
      <c r="D162" s="25">
        <f>+[6]BS17A!$U1472</f>
        <v>24000</v>
      </c>
      <c r="E162" s="146">
        <f>+[6]BS17A!$V1472</f>
        <v>0</v>
      </c>
      <c r="F162" s="8"/>
    </row>
    <row r="163" spans="1:6" ht="15" customHeight="1" x14ac:dyDescent="0.2">
      <c r="A163" s="22" t="s">
        <v>235</v>
      </c>
      <c r="B163" s="156" t="s">
        <v>236</v>
      </c>
      <c r="C163" s="155">
        <f>+[6]BS17A!$D1473</f>
        <v>0</v>
      </c>
      <c r="D163" s="25">
        <f>+[6]BS17A!$U1473</f>
        <v>726900</v>
      </c>
      <c r="E163" s="146">
        <f>+[6]BS17A!$V1473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+[6]BS17A!$D1474</f>
        <v>0</v>
      </c>
      <c r="D164" s="25">
        <f>+[6]BS17A!$U1474</f>
        <v>515080</v>
      </c>
      <c r="E164" s="146">
        <f>+[6]BS17A!$V1474</f>
        <v>0</v>
      </c>
      <c r="F164" s="8"/>
    </row>
    <row r="165" spans="1:6" ht="15" customHeight="1" x14ac:dyDescent="0.2">
      <c r="A165" s="65" t="s">
        <v>239</v>
      </c>
      <c r="B165" s="138" t="s">
        <v>240</v>
      </c>
      <c r="C165" s="155">
        <f>+[6]BS17A!$D1475</f>
        <v>0</v>
      </c>
      <c r="D165" s="25">
        <f>+[6]BS17A!$U1475</f>
        <v>43850</v>
      </c>
      <c r="E165" s="146">
        <f>+[6]BS17A!$V1475</f>
        <v>0</v>
      </c>
      <c r="F165" s="8"/>
    </row>
    <row r="166" spans="1:6" ht="15" customHeight="1" x14ac:dyDescent="0.2">
      <c r="A166" s="129">
        <v>1901029</v>
      </c>
      <c r="B166" s="157" t="s">
        <v>241</v>
      </c>
      <c r="C166" s="158">
        <f>+[6]BS17A!$D1476</f>
        <v>0</v>
      </c>
      <c r="D166" s="40">
        <f>+[6]BS17A!$U1476</f>
        <v>591930</v>
      </c>
      <c r="E166" s="153">
        <f>+[6]BS17A!$V1476</f>
        <v>0</v>
      </c>
      <c r="F166" s="8"/>
    </row>
    <row r="167" spans="1:6" ht="15" customHeight="1" x14ac:dyDescent="0.2">
      <c r="A167" s="159"/>
      <c r="B167" s="160" t="s">
        <v>242</v>
      </c>
      <c r="C167" s="161">
        <f>SUM(C160:C166)</f>
        <v>0</v>
      </c>
      <c r="D167" s="162"/>
      <c r="E167" s="163">
        <f>SUM(E160:E166)</f>
        <v>0</v>
      </c>
      <c r="F167" s="8"/>
    </row>
    <row r="168" spans="1:6" ht="12.75" x14ac:dyDescent="0.2">
      <c r="A168" s="8"/>
      <c r="B168" s="8"/>
      <c r="C168" s="8"/>
      <c r="D168" s="8"/>
      <c r="E168" s="8"/>
      <c r="F168" s="8"/>
    </row>
    <row r="169" spans="1:6" ht="18" customHeight="1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256" t="s">
        <v>243</v>
      </c>
      <c r="B170" s="252"/>
      <c r="C170" s="252"/>
      <c r="D170" s="252"/>
      <c r="E170" s="253"/>
      <c r="F170" s="5"/>
    </row>
    <row r="171" spans="1:6" ht="35.25" customHeight="1" x14ac:dyDescent="0.2">
      <c r="A171" s="11" t="s">
        <v>8</v>
      </c>
      <c r="B171" s="11" t="s">
        <v>9</v>
      </c>
      <c r="C171" s="12" t="s">
        <v>10</v>
      </c>
      <c r="D171" s="13" t="s">
        <v>11</v>
      </c>
      <c r="E171" s="14" t="s">
        <v>12</v>
      </c>
      <c r="F171" s="8"/>
    </row>
    <row r="172" spans="1:6" ht="12.75" customHeight="1" x14ac:dyDescent="0.2">
      <c r="A172" s="164">
        <v>1101004</v>
      </c>
      <c r="B172" s="165" t="s">
        <v>244</v>
      </c>
      <c r="C172" s="19">
        <f>+[6]BS17A!$D801</f>
        <v>0</v>
      </c>
      <c r="D172" s="37">
        <f>+[6]BS17A!$U801</f>
        <v>13080</v>
      </c>
      <c r="E172" s="145">
        <f>+[6]BS17A!$V801</f>
        <v>0</v>
      </c>
      <c r="F172" s="8"/>
    </row>
    <row r="173" spans="1:6" ht="12.75" customHeight="1" x14ac:dyDescent="0.2">
      <c r="A173" s="104">
        <v>1101006</v>
      </c>
      <c r="B173" s="166" t="s">
        <v>245</v>
      </c>
      <c r="C173" s="24">
        <f>+[6]BS17A!$D802</f>
        <v>16</v>
      </c>
      <c r="D173" s="25">
        <f>+[6]BS17A!$U802</f>
        <v>10470</v>
      </c>
      <c r="E173" s="146">
        <f>+[6]BS17A!$V802</f>
        <v>167520</v>
      </c>
      <c r="F173" s="8"/>
    </row>
    <row r="174" spans="1:6" ht="24.75" customHeight="1" x14ac:dyDescent="0.2">
      <c r="A174" s="104" t="s">
        <v>246</v>
      </c>
      <c r="B174" s="167" t="s">
        <v>247</v>
      </c>
      <c r="C174" s="24">
        <f>+[6]BS17A!$D1186</f>
        <v>802</v>
      </c>
      <c r="D174" s="25">
        <f>+[6]BS17A!$U1186</f>
        <v>4480</v>
      </c>
      <c r="E174" s="146">
        <f>+[6]BS17A!$V1186</f>
        <v>3592960</v>
      </c>
      <c r="F174" s="8"/>
    </row>
    <row r="175" spans="1:6" ht="24.75" customHeight="1" x14ac:dyDescent="0.2">
      <c r="A175" s="104" t="s">
        <v>248</v>
      </c>
      <c r="B175" s="167" t="s">
        <v>249</v>
      </c>
      <c r="C175" s="24">
        <f>+[6]BS17A!$D1187</f>
        <v>28</v>
      </c>
      <c r="D175" s="25">
        <f>+[6]BS17A!$U1187</f>
        <v>12640</v>
      </c>
      <c r="E175" s="146">
        <f>+[6]BS17A!$V1187</f>
        <v>353920</v>
      </c>
      <c r="F175" s="8"/>
    </row>
    <row r="176" spans="1:6" ht="24.75" customHeight="1" x14ac:dyDescent="0.2">
      <c r="A176" s="104" t="s">
        <v>250</v>
      </c>
      <c r="B176" s="167" t="s">
        <v>251</v>
      </c>
      <c r="C176" s="24">
        <f>+[6]BS17A!$D1188</f>
        <v>36</v>
      </c>
      <c r="D176" s="25">
        <f>+[6]BS17A!$U1188</f>
        <v>21430</v>
      </c>
      <c r="E176" s="146">
        <f>+[6]BS17A!$V1188</f>
        <v>771480</v>
      </c>
      <c r="F176" s="8"/>
    </row>
    <row r="177" spans="1:6" ht="12.75" customHeight="1" x14ac:dyDescent="0.2">
      <c r="A177" s="104" t="s">
        <v>252</v>
      </c>
      <c r="B177" s="167" t="s">
        <v>253</v>
      </c>
      <c r="C177" s="24">
        <f>+[6]BS17A!$D1189</f>
        <v>0</v>
      </c>
      <c r="D177" s="25">
        <f>+[6]BS17A!$U1189</f>
        <v>40910</v>
      </c>
      <c r="E177" s="146">
        <f>+[6]BS17A!$V1189</f>
        <v>0</v>
      </c>
      <c r="F177" s="8"/>
    </row>
    <row r="178" spans="1:6" ht="12.75" customHeight="1" x14ac:dyDescent="0.2">
      <c r="A178" s="104" t="s">
        <v>254</v>
      </c>
      <c r="B178" s="167" t="s">
        <v>255</v>
      </c>
      <c r="C178" s="24">
        <f>+[6]BS17A!$D1190</f>
        <v>51</v>
      </c>
      <c r="D178" s="25">
        <f>+[6]BS17A!$U1190</f>
        <v>45600</v>
      </c>
      <c r="E178" s="146">
        <f>+[6]BS17A!$V1190</f>
        <v>2325600</v>
      </c>
      <c r="F178" s="8"/>
    </row>
    <row r="179" spans="1:6" ht="24.75" customHeight="1" x14ac:dyDescent="0.2">
      <c r="A179" s="104" t="s">
        <v>256</v>
      </c>
      <c r="B179" s="167" t="s">
        <v>257</v>
      </c>
      <c r="C179" s="24">
        <f>+[6]BS17A!$D1191</f>
        <v>0</v>
      </c>
      <c r="D179" s="25">
        <f>+[6]BS17A!$U1191</f>
        <v>25580</v>
      </c>
      <c r="E179" s="146">
        <f>+[6]BS17A!$V1191</f>
        <v>0</v>
      </c>
      <c r="F179" s="8"/>
    </row>
    <row r="180" spans="1:6" ht="12.75" customHeight="1" x14ac:dyDescent="0.2">
      <c r="A180" s="104" t="s">
        <v>258</v>
      </c>
      <c r="B180" s="156" t="s">
        <v>259</v>
      </c>
      <c r="C180" s="24">
        <f>+[6]BS17A!$D1192</f>
        <v>0</v>
      </c>
      <c r="D180" s="25">
        <f>+[6]BS17A!$U1192</f>
        <v>197910</v>
      </c>
      <c r="E180" s="146">
        <f>+[6]BS17A!$V1192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24">
        <f>+[6]BS17A!$D1193</f>
        <v>0</v>
      </c>
      <c r="D181" s="25">
        <f>+[6]BS17A!$U1193</f>
        <v>224990</v>
      </c>
      <c r="E181" s="146">
        <f>+[6]BS17A!$V1193</f>
        <v>0</v>
      </c>
      <c r="F181" s="8"/>
    </row>
    <row r="182" spans="1:6" ht="12.75" customHeight="1" x14ac:dyDescent="0.2">
      <c r="A182" s="104" t="s">
        <v>262</v>
      </c>
      <c r="B182" s="167" t="s">
        <v>263</v>
      </c>
      <c r="C182" s="24">
        <f>+[6]BS17A!$D1194</f>
        <v>0</v>
      </c>
      <c r="D182" s="25">
        <f>+[6]BS17A!$U1194</f>
        <v>183470</v>
      </c>
      <c r="E182" s="146">
        <f>+[6]BS17A!$V1194</f>
        <v>0</v>
      </c>
      <c r="F182" s="8"/>
    </row>
    <row r="183" spans="1:6" ht="24.75" customHeight="1" x14ac:dyDescent="0.2">
      <c r="A183" s="104" t="s">
        <v>264</v>
      </c>
      <c r="B183" s="156" t="s">
        <v>265</v>
      </c>
      <c r="C183" s="24">
        <f>+[6]BS17A!$D1195</f>
        <v>0</v>
      </c>
      <c r="D183" s="25">
        <f>+[6]BS17A!$U1195</f>
        <v>235660</v>
      </c>
      <c r="E183" s="146">
        <f>+[6]BS17A!$V1195</f>
        <v>0</v>
      </c>
      <c r="F183" s="8"/>
    </row>
    <row r="184" spans="1:6" ht="24.75" customHeight="1" x14ac:dyDescent="0.2">
      <c r="A184" s="104" t="s">
        <v>266</v>
      </c>
      <c r="B184" s="156" t="s">
        <v>267</v>
      </c>
      <c r="C184" s="24">
        <f>+[6]BS17A!$D1196</f>
        <v>0</v>
      </c>
      <c r="D184" s="25">
        <f>+[6]BS17A!$U1196</f>
        <v>241140</v>
      </c>
      <c r="E184" s="146">
        <f>+[6]BS17A!$V1196</f>
        <v>0</v>
      </c>
      <c r="F184" s="8"/>
    </row>
    <row r="185" spans="1:6" ht="24.75" customHeight="1" x14ac:dyDescent="0.2">
      <c r="A185" s="104" t="s">
        <v>268</v>
      </c>
      <c r="B185" s="156" t="s">
        <v>269</v>
      </c>
      <c r="C185" s="24">
        <f>+[6]BS17A!$D1197</f>
        <v>0</v>
      </c>
      <c r="D185" s="25">
        <f>+[6]BS17A!$U1197</f>
        <v>203920</v>
      </c>
      <c r="E185" s="146">
        <f>+[6]BS17A!$V1197</f>
        <v>0</v>
      </c>
      <c r="F185" s="8"/>
    </row>
    <row r="186" spans="1:6" ht="12.75" customHeight="1" x14ac:dyDescent="0.2">
      <c r="A186" s="104" t="s">
        <v>270</v>
      </c>
      <c r="B186" s="156" t="s">
        <v>271</v>
      </c>
      <c r="C186" s="24">
        <f>+[6]BS17A!$D1198</f>
        <v>0</v>
      </c>
      <c r="D186" s="25">
        <f>+[6]BS17A!$U1198</f>
        <v>217670</v>
      </c>
      <c r="E186" s="146">
        <f>+[6]BS17A!$V1198</f>
        <v>0</v>
      </c>
      <c r="F186" s="8"/>
    </row>
    <row r="187" spans="1:6" ht="12.75" customHeight="1" x14ac:dyDescent="0.2">
      <c r="A187" s="104" t="s">
        <v>272</v>
      </c>
      <c r="B187" s="156" t="s">
        <v>273</v>
      </c>
      <c r="C187" s="24">
        <f>+[6]BS17A!$D1199</f>
        <v>0</v>
      </c>
      <c r="D187" s="25">
        <f>+[6]BS17A!$U1199</f>
        <v>260270</v>
      </c>
      <c r="E187" s="146">
        <f>+[6]BS17A!$V1199</f>
        <v>0</v>
      </c>
      <c r="F187" s="8"/>
    </row>
    <row r="188" spans="1:6" ht="24.75" customHeight="1" x14ac:dyDescent="0.2">
      <c r="A188" s="104" t="s">
        <v>274</v>
      </c>
      <c r="B188" s="167" t="s">
        <v>275</v>
      </c>
      <c r="C188" s="24">
        <f>+[6]BS17A!$D1200</f>
        <v>0</v>
      </c>
      <c r="D188" s="25">
        <f>+[6]BS17A!$U1200</f>
        <v>230810</v>
      </c>
      <c r="E188" s="146">
        <f>+[6]BS17A!$V1200</f>
        <v>0</v>
      </c>
      <c r="F188" s="8"/>
    </row>
    <row r="189" spans="1:6" ht="24.75" customHeight="1" x14ac:dyDescent="0.2">
      <c r="A189" s="104" t="s">
        <v>276</v>
      </c>
      <c r="B189" s="156" t="s">
        <v>277</v>
      </c>
      <c r="C189" s="24">
        <f>+[6]BS17A!$D1201</f>
        <v>0</v>
      </c>
      <c r="D189" s="25">
        <f>+[6]BS17A!$U1201</f>
        <v>1689070</v>
      </c>
      <c r="E189" s="146">
        <f>+[6]BS17A!$V1201</f>
        <v>0</v>
      </c>
      <c r="F189" s="8"/>
    </row>
    <row r="190" spans="1:6" ht="12.75" customHeight="1" x14ac:dyDescent="0.2">
      <c r="A190" s="104" t="s">
        <v>278</v>
      </c>
      <c r="B190" s="156" t="s">
        <v>279</v>
      </c>
      <c r="C190" s="24">
        <f>+[6]BS17A!$D1202</f>
        <v>0</v>
      </c>
      <c r="D190" s="25">
        <f>+[6]BS17A!$U1202</f>
        <v>1054990</v>
      </c>
      <c r="E190" s="146">
        <f>+[6]BS17A!$V1202</f>
        <v>0</v>
      </c>
      <c r="F190" s="8"/>
    </row>
    <row r="191" spans="1:6" ht="12.75" customHeight="1" x14ac:dyDescent="0.2">
      <c r="A191" s="22" t="s">
        <v>280</v>
      </c>
      <c r="B191" s="156" t="s">
        <v>281</v>
      </c>
      <c r="C191" s="24">
        <f>+[6]BS17A!$D1203</f>
        <v>0</v>
      </c>
      <c r="D191" s="25">
        <f>+[6]BS17A!$U1203</f>
        <v>1021110</v>
      </c>
      <c r="E191" s="146">
        <f>+[6]BS17A!$V1203</f>
        <v>0</v>
      </c>
      <c r="F191" s="8"/>
    </row>
    <row r="192" spans="1:6" ht="24.75" customHeight="1" x14ac:dyDescent="0.2">
      <c r="A192" s="104" t="s">
        <v>282</v>
      </c>
      <c r="B192" s="156" t="s">
        <v>283</v>
      </c>
      <c r="C192" s="24">
        <f>+[6]BS17A!$D1204</f>
        <v>0</v>
      </c>
      <c r="D192" s="25">
        <f>+[6]BS17A!$U1204</f>
        <v>1069740</v>
      </c>
      <c r="E192" s="146">
        <f>+[6]BS17A!$V1204</f>
        <v>0</v>
      </c>
      <c r="F192" s="8"/>
    </row>
    <row r="193" spans="1:6" ht="12.75" customHeight="1" x14ac:dyDescent="0.2">
      <c r="A193" s="22" t="s">
        <v>284</v>
      </c>
      <c r="B193" s="156" t="s">
        <v>285</v>
      </c>
      <c r="C193" s="24">
        <f>+[6]BS17A!$D1205</f>
        <v>0</v>
      </c>
      <c r="D193" s="25">
        <f>+[6]BS17A!$U1205</f>
        <v>151380</v>
      </c>
      <c r="E193" s="146">
        <f>+[6]BS17A!$V1205</f>
        <v>0</v>
      </c>
      <c r="F193" s="8"/>
    </row>
    <row r="194" spans="1:6" ht="12.75" customHeight="1" x14ac:dyDescent="0.2">
      <c r="A194" s="22" t="s">
        <v>286</v>
      </c>
      <c r="B194" s="156" t="s">
        <v>287</v>
      </c>
      <c r="C194" s="24">
        <f>+[6]BS17A!$D1206</f>
        <v>0</v>
      </c>
      <c r="D194" s="25">
        <f>+[6]BS17A!$U1206</f>
        <v>345440</v>
      </c>
      <c r="E194" s="146">
        <f>+[6]BS17A!$V1206</f>
        <v>0</v>
      </c>
      <c r="F194" s="8"/>
    </row>
    <row r="195" spans="1:6" ht="12.75" customHeight="1" x14ac:dyDescent="0.2">
      <c r="A195" s="104" t="s">
        <v>288</v>
      </c>
      <c r="B195" s="156" t="s">
        <v>289</v>
      </c>
      <c r="C195" s="24">
        <f>+[6]BS17A!$D1207</f>
        <v>0</v>
      </c>
      <c r="D195" s="25">
        <f>+[6]BS17A!$U1207</f>
        <v>128060</v>
      </c>
      <c r="E195" s="146">
        <f>+[6]BS17A!$V1207</f>
        <v>0</v>
      </c>
      <c r="F195" s="8"/>
    </row>
    <row r="196" spans="1:6" ht="12.75" customHeight="1" x14ac:dyDescent="0.2">
      <c r="A196" s="104" t="s">
        <v>290</v>
      </c>
      <c r="B196" s="156" t="s">
        <v>291</v>
      </c>
      <c r="C196" s="24">
        <f>+[6]BS17A!$D1208</f>
        <v>0</v>
      </c>
      <c r="D196" s="25">
        <f>+[6]BS17A!$U1208</f>
        <v>1037610</v>
      </c>
      <c r="E196" s="146">
        <f>+[6]BS17A!$V1208</f>
        <v>0</v>
      </c>
      <c r="F196" s="8"/>
    </row>
    <row r="197" spans="1:6" ht="12.75" customHeight="1" x14ac:dyDescent="0.2">
      <c r="A197" s="104" t="s">
        <v>292</v>
      </c>
      <c r="B197" s="156" t="s">
        <v>293</v>
      </c>
      <c r="C197" s="24">
        <f>+[6]BS17A!$D1209</f>
        <v>0</v>
      </c>
      <c r="D197" s="25">
        <f>+[6]BS17A!$U1209</f>
        <v>1037610</v>
      </c>
      <c r="E197" s="146">
        <f>+[6]BS17A!$V1209</f>
        <v>0</v>
      </c>
      <c r="F197" s="8"/>
    </row>
    <row r="198" spans="1:6" ht="12.75" customHeight="1" x14ac:dyDescent="0.2">
      <c r="A198" s="104">
        <v>1801001</v>
      </c>
      <c r="B198" s="166" t="s">
        <v>294</v>
      </c>
      <c r="C198" s="24">
        <f>+[6]BS17A!$D1343</f>
        <v>33</v>
      </c>
      <c r="D198" s="25">
        <f>+[6]BS17A!$U1343</f>
        <v>30950</v>
      </c>
      <c r="E198" s="146">
        <f>+[6]BS17A!$V1343</f>
        <v>1021350</v>
      </c>
      <c r="F198" s="8"/>
    </row>
    <row r="199" spans="1:6" ht="12.75" customHeight="1" x14ac:dyDescent="0.2">
      <c r="A199" s="104">
        <v>1801003</v>
      </c>
      <c r="B199" s="156" t="s">
        <v>295</v>
      </c>
      <c r="C199" s="24">
        <f>+[6]BS17A!$D1344</f>
        <v>0</v>
      </c>
      <c r="D199" s="25">
        <f>+[6]BS17A!$U1344</f>
        <v>37330</v>
      </c>
      <c r="E199" s="146">
        <f>+[6]BS17A!$V1344</f>
        <v>0</v>
      </c>
      <c r="F199" s="8"/>
    </row>
    <row r="200" spans="1:6" ht="12.75" customHeight="1" x14ac:dyDescent="0.2">
      <c r="A200" s="104">
        <v>1801006</v>
      </c>
      <c r="B200" s="166" t="s">
        <v>296</v>
      </c>
      <c r="C200" s="24">
        <f>+[6]BS17A!$D1345</f>
        <v>1</v>
      </c>
      <c r="D200" s="25">
        <f>+[6]BS17A!$U1345</f>
        <v>39760</v>
      </c>
      <c r="E200" s="146">
        <f>+[6]BS17A!$V1345</f>
        <v>39760</v>
      </c>
      <c r="F200" s="8"/>
    </row>
    <row r="201" spans="1:6" ht="24.75" customHeight="1" x14ac:dyDescent="0.2">
      <c r="A201" s="104" t="s">
        <v>297</v>
      </c>
      <c r="B201" s="166" t="s">
        <v>298</v>
      </c>
      <c r="C201" s="24">
        <f>[6]BS17A!D1032</f>
        <v>0</v>
      </c>
      <c r="D201" s="25">
        <f>[6]BS17A!U1032</f>
        <v>8370</v>
      </c>
      <c r="E201" s="146">
        <f>[6]BS17A!V1032</f>
        <v>0</v>
      </c>
      <c r="F201" s="8"/>
    </row>
    <row r="202" spans="1:6" ht="24.75" customHeight="1" x14ac:dyDescent="0.2">
      <c r="A202" s="168" t="s">
        <v>299</v>
      </c>
      <c r="B202" s="169" t="s">
        <v>300</v>
      </c>
      <c r="C202" s="88">
        <f>[6]BS17A!D803</f>
        <v>0</v>
      </c>
      <c r="D202" s="170">
        <f>[6]BS17A!U803</f>
        <v>355150</v>
      </c>
      <c r="E202" s="171">
        <f>[6]BS17A!V803</f>
        <v>0</v>
      </c>
      <c r="F202" s="8"/>
    </row>
    <row r="203" spans="1:6" ht="17.25" customHeight="1" x14ac:dyDescent="0.2">
      <c r="A203" s="130"/>
      <c r="B203" s="131" t="s">
        <v>301</v>
      </c>
      <c r="C203" s="44">
        <f>SUM(C172:C202)</f>
        <v>967</v>
      </c>
      <c r="D203" s="151"/>
      <c r="E203" s="152">
        <f>SUM(E172:E202)</f>
        <v>8272590</v>
      </c>
      <c r="F203" s="8"/>
    </row>
    <row r="204" spans="1:6" ht="21.75" customHeight="1" x14ac:dyDescent="0.2">
      <c r="A204" s="8"/>
      <c r="B204" s="8"/>
      <c r="C204" s="8"/>
      <c r="D204" s="8"/>
      <c r="E204" s="8"/>
      <c r="F204" s="8"/>
    </row>
    <row r="205" spans="1:6" ht="19.5" customHeight="1" x14ac:dyDescent="0.2">
      <c r="A205" s="8"/>
      <c r="B205" s="8"/>
      <c r="C205" s="8"/>
      <c r="D205" s="8"/>
      <c r="E205" s="8"/>
      <c r="F205" s="8"/>
    </row>
    <row r="206" spans="1:6" ht="18" customHeight="1" x14ac:dyDescent="0.2">
      <c r="A206" s="256" t="s">
        <v>302</v>
      </c>
      <c r="B206" s="252"/>
      <c r="C206" s="252"/>
      <c r="D206" s="252"/>
      <c r="E206" s="253"/>
      <c r="F206" s="5"/>
    </row>
    <row r="207" spans="1:6" ht="39.75" customHeight="1" x14ac:dyDescent="0.2">
      <c r="A207" s="11" t="s">
        <v>8</v>
      </c>
      <c r="B207" s="11" t="s">
        <v>9</v>
      </c>
      <c r="C207" s="12" t="s">
        <v>10</v>
      </c>
      <c r="D207" s="13" t="s">
        <v>11</v>
      </c>
      <c r="E207" s="14" t="s">
        <v>12</v>
      </c>
      <c r="F207" s="5"/>
    </row>
    <row r="208" spans="1:6" ht="12.75" customHeight="1" x14ac:dyDescent="0.2">
      <c r="A208" s="17" t="s">
        <v>303</v>
      </c>
      <c r="B208" s="42" t="s">
        <v>304</v>
      </c>
      <c r="C208" s="19">
        <f>+[6]BS17A!$D18</f>
        <v>0</v>
      </c>
      <c r="D208" s="37">
        <f>+[6]BS17A!$U18</f>
        <v>12950</v>
      </c>
      <c r="E208" s="145">
        <f>+[6]BS17A!$V18</f>
        <v>0</v>
      </c>
      <c r="F208" s="8"/>
    </row>
    <row r="209" spans="1:6" ht="12.75" customHeight="1" x14ac:dyDescent="0.2">
      <c r="A209" s="22" t="s">
        <v>305</v>
      </c>
      <c r="B209" s="23" t="s">
        <v>306</v>
      </c>
      <c r="C209" s="24">
        <f>+[6]BS17A!$D19</f>
        <v>77</v>
      </c>
      <c r="D209" s="25">
        <f>+[6]BS17A!$U19</f>
        <v>12950</v>
      </c>
      <c r="E209" s="146">
        <f>+[6]BS17A!$V19</f>
        <v>997150</v>
      </c>
      <c r="F209" s="8"/>
    </row>
    <row r="210" spans="1:6" ht="12.75" customHeight="1" x14ac:dyDescent="0.2">
      <c r="A210" s="22" t="s">
        <v>307</v>
      </c>
      <c r="B210" s="28" t="s">
        <v>308</v>
      </c>
      <c r="C210" s="24">
        <f>+[6]BS17A!$D47</f>
        <v>0</v>
      </c>
      <c r="D210" s="25">
        <f>+[6]BS17A!$U47</f>
        <v>1240</v>
      </c>
      <c r="E210" s="146">
        <f>+[6]BS17A!$V47</f>
        <v>0</v>
      </c>
      <c r="F210" s="8"/>
    </row>
    <row r="211" spans="1:6" ht="12.75" customHeight="1" x14ac:dyDescent="0.2">
      <c r="A211" s="22" t="s">
        <v>309</v>
      </c>
      <c r="B211" s="28" t="s">
        <v>310</v>
      </c>
      <c r="C211" s="24">
        <f>+[6]BS17A!$D48</f>
        <v>461</v>
      </c>
      <c r="D211" s="25">
        <f>+[6]BS17A!$U48</f>
        <v>600</v>
      </c>
      <c r="E211" s="146">
        <f>+[6]BS17A!$V48</f>
        <v>276600</v>
      </c>
      <c r="F211" s="8"/>
    </row>
    <row r="212" spans="1:6" ht="12.75" customHeight="1" x14ac:dyDescent="0.2">
      <c r="A212" s="22" t="s">
        <v>311</v>
      </c>
      <c r="B212" s="23" t="s">
        <v>312</v>
      </c>
      <c r="C212" s="24">
        <f>+[6]BS17A!$D49</f>
        <v>864</v>
      </c>
      <c r="D212" s="25">
        <f>+[6]BS17A!$U49</f>
        <v>1840</v>
      </c>
      <c r="E212" s="146">
        <f>+[6]BS17A!$V49</f>
        <v>1589760</v>
      </c>
      <c r="F212" s="8"/>
    </row>
    <row r="213" spans="1:6" ht="12.75" customHeight="1" x14ac:dyDescent="0.2">
      <c r="A213" s="22" t="s">
        <v>313</v>
      </c>
      <c r="B213" s="23" t="s">
        <v>314</v>
      </c>
      <c r="C213" s="24">
        <f>+[6]BS17A!$D50</f>
        <v>43</v>
      </c>
      <c r="D213" s="25">
        <f>+[6]BS17A!$U50</f>
        <v>13790</v>
      </c>
      <c r="E213" s="146">
        <f>+[6]BS17A!$V50</f>
        <v>592970</v>
      </c>
      <c r="F213" s="8"/>
    </row>
    <row r="214" spans="1:6" ht="12.75" customHeight="1" x14ac:dyDescent="0.2">
      <c r="A214" s="22" t="s">
        <v>315</v>
      </c>
      <c r="B214" s="28" t="s">
        <v>316</v>
      </c>
      <c r="C214" s="24">
        <f>+[6]BS17A!$D51</f>
        <v>59</v>
      </c>
      <c r="D214" s="25">
        <f>+[6]BS17A!$U51</f>
        <v>31670</v>
      </c>
      <c r="E214" s="146">
        <f>+[6]BS17A!$V51</f>
        <v>1868530</v>
      </c>
      <c r="F214" s="8"/>
    </row>
    <row r="215" spans="1:6" ht="12.75" customHeight="1" x14ac:dyDescent="0.2">
      <c r="A215" s="104" t="s">
        <v>317</v>
      </c>
      <c r="B215" s="28" t="s">
        <v>318</v>
      </c>
      <c r="C215" s="24">
        <f>+[6]BS17A!D52</f>
        <v>21</v>
      </c>
      <c r="D215" s="172"/>
      <c r="E215" s="146">
        <f>+[6]BS17A!V52</f>
        <v>165900</v>
      </c>
      <c r="F215" s="8"/>
    </row>
    <row r="216" spans="1:6" ht="12.75" customHeight="1" x14ac:dyDescent="0.2">
      <c r="A216" s="29" t="s">
        <v>319</v>
      </c>
      <c r="B216" s="43" t="s">
        <v>320</v>
      </c>
      <c r="C216" s="31">
        <f>+[6]BS17A!$D1849</f>
        <v>41</v>
      </c>
      <c r="D216" s="40">
        <f>+[6]BS17A!$U1849</f>
        <v>25670</v>
      </c>
      <c r="E216" s="153">
        <f>+[6]BS17A!$V1849</f>
        <v>1052470</v>
      </c>
      <c r="F216" s="8"/>
    </row>
    <row r="217" spans="1:6" ht="12.75" x14ac:dyDescent="0.2">
      <c r="A217" s="130"/>
      <c r="B217" s="131" t="s">
        <v>321</v>
      </c>
      <c r="C217" s="44">
        <f>SUM(C208:C216)</f>
        <v>1566</v>
      </c>
      <c r="D217" s="151"/>
      <c r="E217" s="171">
        <f>SUM(E208:E216)</f>
        <v>6543380</v>
      </c>
      <c r="F217" s="8"/>
    </row>
    <row r="218" spans="1:6" ht="17.25" customHeight="1" x14ac:dyDescent="0.2">
      <c r="A218" s="8"/>
      <c r="B218" s="8"/>
      <c r="C218" s="8"/>
      <c r="D218" s="8"/>
      <c r="E218" s="8"/>
      <c r="F218" s="8"/>
    </row>
    <row r="219" spans="1:6" ht="18" customHeight="1" x14ac:dyDescent="0.2">
      <c r="A219" s="8"/>
      <c r="B219" s="8"/>
      <c r="C219" s="8"/>
      <c r="D219" s="8"/>
      <c r="E219" s="8"/>
      <c r="F219" s="8"/>
    </row>
    <row r="220" spans="1:6" ht="27.75" customHeight="1" x14ac:dyDescent="0.2">
      <c r="A220" s="257" t="s">
        <v>322</v>
      </c>
      <c r="B220" s="258"/>
      <c r="C220" s="259"/>
      <c r="D220" s="8"/>
      <c r="E220" s="8"/>
      <c r="F220" s="5"/>
    </row>
    <row r="221" spans="1:6" ht="36.75" customHeight="1" x14ac:dyDescent="0.2">
      <c r="A221" s="11" t="s">
        <v>8</v>
      </c>
      <c r="B221" s="11" t="s">
        <v>10</v>
      </c>
      <c r="C221" s="11" t="s">
        <v>12</v>
      </c>
      <c r="D221" s="5"/>
      <c r="E221" s="8"/>
      <c r="F221" s="8"/>
    </row>
    <row r="222" spans="1:6" ht="15" customHeight="1" x14ac:dyDescent="0.2">
      <c r="A222" s="17" t="s">
        <v>323</v>
      </c>
      <c r="B222" s="173" t="s">
        <v>324</v>
      </c>
      <c r="C222" s="174"/>
      <c r="D222" s="175"/>
      <c r="E222" s="8"/>
      <c r="F222" s="8"/>
    </row>
    <row r="223" spans="1:6" ht="15" customHeight="1" x14ac:dyDescent="0.2">
      <c r="A223" s="176" t="s">
        <v>325</v>
      </c>
      <c r="B223" s="177" t="s">
        <v>326</v>
      </c>
      <c r="C223" s="178"/>
      <c r="D223" s="175"/>
      <c r="E223" s="8"/>
      <c r="F223" s="8"/>
    </row>
    <row r="224" spans="1:6" ht="18" customHeight="1" x14ac:dyDescent="0.2">
      <c r="A224" s="179"/>
      <c r="B224" s="180" t="s">
        <v>327</v>
      </c>
      <c r="C224" s="181">
        <f>SUM(C222:C223)</f>
        <v>0</v>
      </c>
      <c r="D224" s="175"/>
      <c r="E224" s="8"/>
      <c r="F224" s="8"/>
    </row>
    <row r="225" spans="1:7" ht="18" customHeight="1" x14ac:dyDescent="0.2">
      <c r="A225" s="8"/>
      <c r="B225" s="8"/>
      <c r="C225" s="8"/>
      <c r="D225" s="175"/>
      <c r="E225" s="175"/>
      <c r="F225" s="175"/>
    </row>
    <row r="226" spans="1:7" ht="18" customHeight="1" x14ac:dyDescent="0.2">
      <c r="A226" s="8"/>
      <c r="B226" s="8"/>
      <c r="C226" s="8"/>
      <c r="D226" s="8"/>
      <c r="E226" s="8"/>
      <c r="F226" s="175"/>
      <c r="G226" s="182"/>
    </row>
    <row r="227" spans="1:7" ht="18" customHeight="1" x14ac:dyDescent="0.2">
      <c r="A227" s="256" t="s">
        <v>328</v>
      </c>
      <c r="B227" s="252"/>
      <c r="C227" s="252"/>
      <c r="D227" s="252"/>
      <c r="E227" s="253"/>
      <c r="F227" s="175"/>
      <c r="G227" s="182"/>
    </row>
    <row r="228" spans="1:7" ht="64.5" customHeight="1" x14ac:dyDescent="0.2">
      <c r="A228" s="11" t="s">
        <v>8</v>
      </c>
      <c r="B228" s="11" t="s">
        <v>9</v>
      </c>
      <c r="C228" s="12" t="s">
        <v>10</v>
      </c>
      <c r="D228" s="13" t="s">
        <v>11</v>
      </c>
      <c r="E228" s="14" t="s">
        <v>12</v>
      </c>
      <c r="F228" s="175"/>
      <c r="G228" s="182"/>
    </row>
    <row r="229" spans="1:7" ht="15" customHeight="1" x14ac:dyDescent="0.2">
      <c r="A229" s="17" t="s">
        <v>329</v>
      </c>
      <c r="B229" s="42" t="s">
        <v>330</v>
      </c>
      <c r="C229" s="154">
        <f>+[6]BS17A!$D1920</f>
        <v>279</v>
      </c>
      <c r="D229" s="37">
        <f>+[6]BS17A!$U1920</f>
        <v>17720</v>
      </c>
      <c r="E229" s="145">
        <f>+[6]BS17A!$V1920</f>
        <v>4943880</v>
      </c>
      <c r="F229" s="8"/>
    </row>
    <row r="230" spans="1:7" ht="15" customHeight="1" x14ac:dyDescent="0.2">
      <c r="A230" s="29" t="s">
        <v>331</v>
      </c>
      <c r="B230" s="43" t="s">
        <v>332</v>
      </c>
      <c r="C230" s="158">
        <f>+[6]BS17A!$D1921</f>
        <v>0</v>
      </c>
      <c r="D230" s="40">
        <f>+[6]BS17A!$U1921</f>
        <v>222170</v>
      </c>
      <c r="E230" s="153">
        <f>+[6]BS17A!$V1921</f>
        <v>0</v>
      </c>
      <c r="F230" s="8"/>
    </row>
    <row r="231" spans="1:7" ht="18" customHeight="1" x14ac:dyDescent="0.2">
      <c r="A231" s="130"/>
      <c r="B231" s="131" t="s">
        <v>333</v>
      </c>
      <c r="C231" s="44">
        <f>SUM(C229:C230)</f>
        <v>279</v>
      </c>
      <c r="D231" s="151"/>
      <c r="E231" s="152">
        <f>SUM(E229:E230)</f>
        <v>4943880</v>
      </c>
      <c r="F231" s="8"/>
    </row>
    <row r="232" spans="1:7" ht="18" customHeight="1" x14ac:dyDescent="0.2">
      <c r="A232" s="183"/>
      <c r="B232" s="184"/>
      <c r="C232" s="185"/>
      <c r="D232" s="183"/>
      <c r="E232" s="183"/>
      <c r="F232" s="8"/>
    </row>
    <row r="233" spans="1:7" ht="18" customHeight="1" x14ac:dyDescent="0.2">
      <c r="A233" s="183"/>
      <c r="B233" s="184"/>
      <c r="C233" s="185"/>
      <c r="D233" s="183"/>
      <c r="E233" s="183"/>
      <c r="F233" s="8"/>
    </row>
    <row r="234" spans="1:7" ht="18" customHeight="1" x14ac:dyDescent="0.2">
      <c r="A234" s="251" t="s">
        <v>334</v>
      </c>
      <c r="B234" s="252"/>
      <c r="C234" s="252"/>
      <c r="D234" s="252"/>
      <c r="E234" s="253"/>
      <c r="F234" s="8"/>
    </row>
    <row r="235" spans="1:7" ht="38.25" x14ac:dyDescent="0.2">
      <c r="A235" s="11" t="s">
        <v>8</v>
      </c>
      <c r="B235" s="11" t="s">
        <v>9</v>
      </c>
      <c r="C235" s="12" t="s">
        <v>10</v>
      </c>
      <c r="D235" s="13" t="s">
        <v>11</v>
      </c>
      <c r="E235" s="14" t="s">
        <v>12</v>
      </c>
      <c r="F235" s="8"/>
    </row>
    <row r="236" spans="1:7" ht="18" customHeight="1" x14ac:dyDescent="0.2">
      <c r="A236" s="142" t="s">
        <v>335</v>
      </c>
      <c r="B236" s="186" t="s">
        <v>336</v>
      </c>
      <c r="C236" s="187">
        <f>[6]BS17A!D764</f>
        <v>378</v>
      </c>
      <c r="D236" s="188"/>
      <c r="E236" s="189">
        <f>[6]BS17A!V764</f>
        <v>2409410</v>
      </c>
      <c r="F236" s="8"/>
    </row>
    <row r="237" spans="1:7" ht="18" customHeight="1" x14ac:dyDescent="0.2">
      <c r="A237" s="183"/>
      <c r="B237" s="184"/>
      <c r="C237" s="185"/>
      <c r="D237" s="183"/>
      <c r="E237" s="183"/>
      <c r="F237" s="8"/>
    </row>
    <row r="238" spans="1:7" ht="18" customHeight="1" x14ac:dyDescent="0.2">
      <c r="A238" s="251" t="s">
        <v>337</v>
      </c>
      <c r="B238" s="254"/>
      <c r="C238" s="254"/>
      <c r="D238" s="254"/>
      <c r="E238" s="255"/>
      <c r="F238" s="8"/>
    </row>
    <row r="239" spans="1:7" ht="41.25" customHeight="1" x14ac:dyDescent="0.2">
      <c r="A239" s="11" t="s">
        <v>8</v>
      </c>
      <c r="B239" s="12" t="s">
        <v>338</v>
      </c>
      <c r="C239" s="100" t="s">
        <v>339</v>
      </c>
      <c r="D239" s="13" t="s">
        <v>11</v>
      </c>
      <c r="E239" s="14" t="s">
        <v>12</v>
      </c>
      <c r="F239" s="8"/>
    </row>
    <row r="240" spans="1:7" ht="15" customHeight="1" x14ac:dyDescent="0.2">
      <c r="A240" s="190" t="s">
        <v>340</v>
      </c>
      <c r="B240" s="191" t="s">
        <v>341</v>
      </c>
      <c r="C240" s="19">
        <f>+[6]BS17A!$D1923</f>
        <v>0</v>
      </c>
      <c r="D240" s="37">
        <f>+[6]BS17A!$U1923</f>
        <v>226920</v>
      </c>
      <c r="E240" s="145">
        <f>+[6]BS17A!$V1923</f>
        <v>0</v>
      </c>
      <c r="F240" s="8"/>
    </row>
    <row r="241" spans="1:6" ht="15" customHeight="1" x14ac:dyDescent="0.2">
      <c r="A241" s="192" t="s">
        <v>342</v>
      </c>
      <c r="B241" s="193" t="s">
        <v>343</v>
      </c>
      <c r="C241" s="24">
        <f>+[6]BS17A!$D1924</f>
        <v>0</v>
      </c>
      <c r="D241" s="25">
        <f>+[6]BS17A!$U1924</f>
        <v>32250</v>
      </c>
      <c r="E241" s="146">
        <f>+[6]BS17A!$V1924</f>
        <v>0</v>
      </c>
      <c r="F241" s="8"/>
    </row>
    <row r="242" spans="1:6" ht="15" customHeight="1" x14ac:dyDescent="0.2">
      <c r="A242" s="192" t="s">
        <v>344</v>
      </c>
      <c r="B242" s="193" t="s">
        <v>345</v>
      </c>
      <c r="C242" s="24">
        <f>+[6]BS17A!$D1925</f>
        <v>0</v>
      </c>
      <c r="D242" s="25">
        <f>+[6]BS17A!$U1925</f>
        <v>121620</v>
      </c>
      <c r="E242" s="146">
        <f>+[6]BS17A!$V1925</f>
        <v>0</v>
      </c>
      <c r="F242" s="8"/>
    </row>
    <row r="243" spans="1:6" ht="15" customHeight="1" x14ac:dyDescent="0.2">
      <c r="A243" s="192" t="s">
        <v>346</v>
      </c>
      <c r="B243" s="193" t="s">
        <v>347</v>
      </c>
      <c r="C243" s="24">
        <f>+[6]BS17A!$D1926</f>
        <v>0</v>
      </c>
      <c r="D243" s="25">
        <f>+[6]BS17A!$U1926</f>
        <v>121620</v>
      </c>
      <c r="E243" s="146">
        <f>+[6]BS17A!$V1926</f>
        <v>0</v>
      </c>
      <c r="F243" s="8"/>
    </row>
    <row r="244" spans="1:6" ht="15" customHeight="1" x14ac:dyDescent="0.2">
      <c r="A244" s="192" t="s">
        <v>348</v>
      </c>
      <c r="B244" s="193" t="s">
        <v>349</v>
      </c>
      <c r="C244" s="24">
        <f>+[6]BS17A!$D1927</f>
        <v>0</v>
      </c>
      <c r="D244" s="25">
        <f>+[6]BS17A!$U1927</f>
        <v>221430</v>
      </c>
      <c r="E244" s="146">
        <f>+[6]BS17A!$V1927</f>
        <v>0</v>
      </c>
      <c r="F244" s="8"/>
    </row>
    <row r="245" spans="1:6" ht="15" customHeight="1" x14ac:dyDescent="0.2">
      <c r="A245" s="192" t="s">
        <v>350</v>
      </c>
      <c r="B245" s="193" t="s">
        <v>351</v>
      </c>
      <c r="C245" s="24">
        <f>+[6]BS17A!$D1928</f>
        <v>0</v>
      </c>
      <c r="D245" s="25">
        <f>+[6]BS17A!$U1928</f>
        <v>339820</v>
      </c>
      <c r="E245" s="146">
        <f>+[6]BS17A!$V1928</f>
        <v>0</v>
      </c>
      <c r="F245" s="8"/>
    </row>
    <row r="246" spans="1:6" ht="15" customHeight="1" x14ac:dyDescent="0.2">
      <c r="A246" s="192" t="s">
        <v>352</v>
      </c>
      <c r="B246" s="193" t="s">
        <v>353</v>
      </c>
      <c r="C246" s="24">
        <f>+[6]BS17A!$D1929</f>
        <v>0</v>
      </c>
      <c r="D246" s="25">
        <f>+[6]BS17A!$U1929</f>
        <v>579700</v>
      </c>
      <c r="E246" s="146">
        <f>+[6]BS17A!$V1929</f>
        <v>0</v>
      </c>
      <c r="F246" s="8"/>
    </row>
    <row r="247" spans="1:6" ht="15" customHeight="1" x14ac:dyDescent="0.2">
      <c r="A247" s="194" t="s">
        <v>354</v>
      </c>
      <c r="B247" s="193" t="s">
        <v>355</v>
      </c>
      <c r="C247" s="24">
        <f>+[6]BS17A!$D1930</f>
        <v>0</v>
      </c>
      <c r="D247" s="25">
        <f>+[6]BS17A!$U1930</f>
        <v>120740</v>
      </c>
      <c r="E247" s="146">
        <f>+[6]BS17A!$V1930</f>
        <v>0</v>
      </c>
      <c r="F247" s="8"/>
    </row>
    <row r="248" spans="1:6" ht="15" customHeight="1" x14ac:dyDescent="0.2">
      <c r="A248" s="194" t="s">
        <v>356</v>
      </c>
      <c r="B248" s="193" t="s">
        <v>357</v>
      </c>
      <c r="C248" s="24">
        <f>+[6]BS17A!$D1931</f>
        <v>0</v>
      </c>
      <c r="D248" s="25">
        <f>+[6]BS17A!$U1931</f>
        <v>325420</v>
      </c>
      <c r="E248" s="146">
        <f>+[6]BS17A!$V1931</f>
        <v>0</v>
      </c>
      <c r="F248" s="8"/>
    </row>
    <row r="249" spans="1:6" ht="15" customHeight="1" x14ac:dyDescent="0.2">
      <c r="A249" s="194" t="s">
        <v>358</v>
      </c>
      <c r="B249" s="193" t="s">
        <v>359</v>
      </c>
      <c r="C249" s="66">
        <f>+[6]BS17A!$D1932</f>
        <v>0</v>
      </c>
      <c r="D249" s="32">
        <f>+[6]BS17A!$U1932</f>
        <v>137020</v>
      </c>
      <c r="E249" s="195">
        <f>+[6]BS17A!$V1932</f>
        <v>0</v>
      </c>
      <c r="F249" s="8"/>
    </row>
    <row r="250" spans="1:6" ht="15" customHeight="1" x14ac:dyDescent="0.2">
      <c r="A250" s="194" t="s">
        <v>360</v>
      </c>
      <c r="B250" s="193" t="s">
        <v>361</v>
      </c>
      <c r="C250" s="66">
        <f>+[6]BS17A!$D1933</f>
        <v>0</v>
      </c>
      <c r="D250" s="32">
        <f>+[6]BS17A!$U1933</f>
        <v>119070</v>
      </c>
      <c r="E250" s="195">
        <f>+[6]BS17A!$V1933</f>
        <v>0</v>
      </c>
      <c r="F250" s="8"/>
    </row>
    <row r="251" spans="1:6" ht="15" customHeight="1" x14ac:dyDescent="0.2">
      <c r="A251" s="194" t="s">
        <v>362</v>
      </c>
      <c r="B251" s="193" t="s">
        <v>363</v>
      </c>
      <c r="C251" s="66">
        <f>+[6]BS17A!$D1934</f>
        <v>0</v>
      </c>
      <c r="D251" s="32">
        <f>+[6]BS17A!$U1934</f>
        <v>181020</v>
      </c>
      <c r="E251" s="195">
        <f>+[6]BS17A!$V1934</f>
        <v>0</v>
      </c>
      <c r="F251" s="8"/>
    </row>
    <row r="252" spans="1:6" ht="15" customHeight="1" x14ac:dyDescent="0.2">
      <c r="A252" s="194" t="s">
        <v>364</v>
      </c>
      <c r="B252" s="193" t="s">
        <v>365</v>
      </c>
      <c r="C252" s="66">
        <f>+[6]BS17A!$D1935</f>
        <v>0</v>
      </c>
      <c r="D252" s="32">
        <f>+[6]BS17A!$U1935</f>
        <v>47640</v>
      </c>
      <c r="E252" s="195">
        <f>+[6]BS17A!$V1935</f>
        <v>0</v>
      </c>
      <c r="F252" s="8"/>
    </row>
    <row r="253" spans="1:6" ht="15" customHeight="1" x14ac:dyDescent="0.2">
      <c r="A253" s="196" t="s">
        <v>366</v>
      </c>
      <c r="B253" s="197" t="s">
        <v>367</v>
      </c>
      <c r="C253" s="31">
        <f>+[6]BS17A!$D1936</f>
        <v>0</v>
      </c>
      <c r="D253" s="40">
        <f>+[6]BS17A!$U1936</f>
        <v>35600</v>
      </c>
      <c r="E253" s="153">
        <f>+[6]BS17A!$V1936</f>
        <v>0</v>
      </c>
      <c r="F253" s="8"/>
    </row>
    <row r="254" spans="1:6" ht="15" customHeight="1" x14ac:dyDescent="0.2">
      <c r="A254" s="242" t="s">
        <v>368</v>
      </c>
      <c r="B254" s="243"/>
      <c r="C254" s="243"/>
      <c r="D254" s="243"/>
      <c r="E254" s="244"/>
      <c r="F254" s="8"/>
    </row>
    <row r="255" spans="1:6" ht="15" customHeight="1" x14ac:dyDescent="0.2">
      <c r="A255" s="17" t="s">
        <v>369</v>
      </c>
      <c r="B255" s="198" t="s">
        <v>341</v>
      </c>
      <c r="C255" s="19">
        <f>+[6]BS17A!$D1937</f>
        <v>0</v>
      </c>
      <c r="D255" s="37">
        <f>+[6]BS17A!$U1937</f>
        <v>195210</v>
      </c>
      <c r="E255" s="145">
        <f>+[6]BS17A!$V1937</f>
        <v>0</v>
      </c>
      <c r="F255" s="8"/>
    </row>
    <row r="256" spans="1:6" ht="15" customHeight="1" x14ac:dyDescent="0.2">
      <c r="A256" s="22" t="s">
        <v>370</v>
      </c>
      <c r="B256" s="34" t="s">
        <v>371</v>
      </c>
      <c r="C256" s="24">
        <f>+[6]BS17A!$D1938</f>
        <v>0</v>
      </c>
      <c r="D256" s="25">
        <f>+[6]BS17A!$U1938</f>
        <v>1161300</v>
      </c>
      <c r="E256" s="146">
        <f>+[6]BS17A!$V1938</f>
        <v>0</v>
      </c>
      <c r="F256" s="8"/>
    </row>
    <row r="257" spans="1:6" ht="15" customHeight="1" x14ac:dyDescent="0.2">
      <c r="A257" s="22" t="s">
        <v>372</v>
      </c>
      <c r="B257" s="34" t="s">
        <v>373</v>
      </c>
      <c r="C257" s="24">
        <f>+[6]BS17A!$D1939</f>
        <v>0</v>
      </c>
      <c r="D257" s="25">
        <f>+[6]BS17A!$U1939</f>
        <v>175210</v>
      </c>
      <c r="E257" s="146">
        <f>+[6]BS17A!$V1939</f>
        <v>0</v>
      </c>
      <c r="F257" s="8"/>
    </row>
    <row r="258" spans="1:6" ht="15" customHeight="1" x14ac:dyDescent="0.2">
      <c r="A258" s="22" t="s">
        <v>374</v>
      </c>
      <c r="B258" s="34" t="s">
        <v>375</v>
      </c>
      <c r="C258" s="24">
        <f>+[6]BS17A!$D1940</f>
        <v>0</v>
      </c>
      <c r="D258" s="25">
        <f>+[6]BS17A!$U1940</f>
        <v>154940</v>
      </c>
      <c r="E258" s="146">
        <f>+[6]BS17A!$V1940</f>
        <v>0</v>
      </c>
      <c r="F258" s="8"/>
    </row>
    <row r="259" spans="1:6" ht="15" customHeight="1" x14ac:dyDescent="0.2">
      <c r="A259" s="22" t="s">
        <v>376</v>
      </c>
      <c r="B259" s="34" t="s">
        <v>377</v>
      </c>
      <c r="C259" s="24">
        <f>+[6]BS17A!$D1941</f>
        <v>0</v>
      </c>
      <c r="D259" s="25">
        <f>+[6]BS17A!$U1941</f>
        <v>314530</v>
      </c>
      <c r="E259" s="146">
        <f>+[6]BS17A!$V1941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24">
        <f>+[6]BS17A!$D1942</f>
        <v>0</v>
      </c>
      <c r="D260" s="25">
        <f>+[6]BS17A!$U1942</f>
        <v>1045930</v>
      </c>
      <c r="E260" s="146">
        <f>+[6]BS17A!$V1942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24">
        <f>+[6]BS17A!$D1943</f>
        <v>0</v>
      </c>
      <c r="D261" s="25">
        <f>+[6]BS17A!$U1943</f>
        <v>1074870</v>
      </c>
      <c r="E261" s="146">
        <f>+[6]BS17A!$V1943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24">
        <f>+[6]BS17A!$D1944</f>
        <v>0</v>
      </c>
      <c r="D262" s="25">
        <f>+[6]BS17A!$U1944</f>
        <v>851060</v>
      </c>
      <c r="E262" s="146">
        <f>+[6]BS17A!$V1944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24">
        <f>+[6]BS17A!$D1945</f>
        <v>0</v>
      </c>
      <c r="D263" s="25">
        <f>+[6]BS17A!$U1945</f>
        <v>896940</v>
      </c>
      <c r="E263" s="146">
        <f>+[6]BS17A!$V1945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24">
        <f>+[6]BS17A!$D1946</f>
        <v>0</v>
      </c>
      <c r="D264" s="25">
        <f>+[6]BS17A!$U1946</f>
        <v>353830</v>
      </c>
      <c r="E264" s="146">
        <f>+[6]BS17A!$V1946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24">
        <f>+[6]BS17A!$D1947</f>
        <v>0</v>
      </c>
      <c r="D265" s="25">
        <f>+[6]BS17A!$U1947</f>
        <v>84740</v>
      </c>
      <c r="E265" s="146">
        <f>+[6]BS17A!$V1947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24">
        <f>+[6]BS17A!$D1948</f>
        <v>0</v>
      </c>
      <c r="D266" s="25">
        <f>+[6]BS17A!$U1948</f>
        <v>252810</v>
      </c>
      <c r="E266" s="146">
        <f>+[6]BS17A!$V1948</f>
        <v>0</v>
      </c>
      <c r="F266" s="8"/>
    </row>
    <row r="267" spans="1:6" ht="15" customHeight="1" x14ac:dyDescent="0.2">
      <c r="A267" s="22" t="s">
        <v>392</v>
      </c>
      <c r="B267" s="23" t="s">
        <v>393</v>
      </c>
      <c r="C267" s="24">
        <f>+[6]BS17A!$D1949</f>
        <v>0</v>
      </c>
      <c r="D267" s="25">
        <f>+[6]BS17A!$U1949</f>
        <v>71480</v>
      </c>
      <c r="E267" s="146">
        <f>+[6]BS17A!$V1949</f>
        <v>0</v>
      </c>
      <c r="F267" s="8"/>
    </row>
    <row r="268" spans="1:6" ht="15" customHeight="1" x14ac:dyDescent="0.2">
      <c r="A268" s="22" t="s">
        <v>394</v>
      </c>
      <c r="B268" s="23" t="s">
        <v>395</v>
      </c>
      <c r="C268" s="24">
        <f>+[6]BS17A!$D1950</f>
        <v>0</v>
      </c>
      <c r="D268" s="25">
        <f>+[6]BS17A!$U1950</f>
        <v>1228260</v>
      </c>
      <c r="E268" s="146">
        <f>+[6]BS17A!$V1950</f>
        <v>0</v>
      </c>
      <c r="F268" s="8"/>
    </row>
    <row r="269" spans="1:6" ht="15" customHeight="1" x14ac:dyDescent="0.2">
      <c r="A269" s="22" t="s">
        <v>396</v>
      </c>
      <c r="B269" s="23" t="s">
        <v>397</v>
      </c>
      <c r="C269" s="24">
        <f>+[6]BS17A!$D1951</f>
        <v>0</v>
      </c>
      <c r="D269" s="25">
        <f>+[6]BS17A!$U1951</f>
        <v>287200</v>
      </c>
      <c r="E269" s="146">
        <f>+[6]BS17A!$V1951</f>
        <v>0</v>
      </c>
      <c r="F269" s="8"/>
    </row>
    <row r="270" spans="1:6" ht="15" customHeight="1" x14ac:dyDescent="0.2">
      <c r="A270" s="22" t="s">
        <v>398</v>
      </c>
      <c r="B270" s="23" t="s">
        <v>399</v>
      </c>
      <c r="C270" s="24">
        <f>+[6]BS17A!$D1952</f>
        <v>0</v>
      </c>
      <c r="D270" s="25">
        <f>+[6]BS17A!$U1952</f>
        <v>962120</v>
      </c>
      <c r="E270" s="146">
        <f>+[6]BS17A!$V1952</f>
        <v>0</v>
      </c>
      <c r="F270" s="8"/>
    </row>
    <row r="271" spans="1:6" ht="15" customHeight="1" x14ac:dyDescent="0.2">
      <c r="A271" s="22" t="s">
        <v>400</v>
      </c>
      <c r="B271" s="30" t="s">
        <v>401</v>
      </c>
      <c r="C271" s="24">
        <f>+[6]BS17A!$D1953</f>
        <v>0</v>
      </c>
      <c r="D271" s="25">
        <f>+[6]BS17A!$U1953</f>
        <v>589010</v>
      </c>
      <c r="E271" s="146">
        <f>+[6]BS17A!$V1953</f>
        <v>0</v>
      </c>
      <c r="F271" s="8"/>
    </row>
    <row r="272" spans="1:6" ht="15" customHeight="1" x14ac:dyDescent="0.2">
      <c r="A272" s="29" t="s">
        <v>402</v>
      </c>
      <c r="B272" s="30" t="s">
        <v>403</v>
      </c>
      <c r="C272" s="31">
        <f>+[6]BS17A!$D1954</f>
        <v>0</v>
      </c>
      <c r="D272" s="32">
        <f>+[6]BS17A!$U1954</f>
        <v>480670</v>
      </c>
      <c r="E272" s="195">
        <f>+[6]BS17A!$V1954</f>
        <v>0</v>
      </c>
      <c r="F272" s="8"/>
    </row>
    <row r="273" spans="1:10" ht="15" customHeight="1" x14ac:dyDescent="0.2">
      <c r="A273" s="242" t="s">
        <v>404</v>
      </c>
      <c r="B273" s="243"/>
      <c r="C273" s="243"/>
      <c r="D273" s="243"/>
      <c r="E273" s="244"/>
      <c r="F273" s="8"/>
    </row>
    <row r="274" spans="1:10" ht="15" customHeight="1" x14ac:dyDescent="0.2">
      <c r="A274" s="17" t="s">
        <v>405</v>
      </c>
      <c r="B274" s="18" t="s">
        <v>406</v>
      </c>
      <c r="C274" s="70">
        <f>+[6]BS17A!$D1955</f>
        <v>0</v>
      </c>
      <c r="D274" s="20">
        <f>[6]BS17A!U1955</f>
        <v>259110</v>
      </c>
      <c r="E274" s="199">
        <f>+[6]BS17A!$V1955</f>
        <v>0</v>
      </c>
      <c r="F274" s="8"/>
    </row>
    <row r="275" spans="1:10" ht="15" customHeight="1" x14ac:dyDescent="0.2">
      <c r="A275" s="22" t="s">
        <v>407</v>
      </c>
      <c r="B275" s="23" t="s">
        <v>408</v>
      </c>
      <c r="C275" s="24">
        <f>+[6]BS17A!$D1956</f>
        <v>0</v>
      </c>
      <c r="D275" s="25">
        <f>[6]BS17A!U1956</f>
        <v>151070</v>
      </c>
      <c r="E275" s="146">
        <f>+[6]BS17A!$V1956</f>
        <v>0</v>
      </c>
      <c r="F275" s="8"/>
    </row>
    <row r="276" spans="1:10" ht="15" customHeight="1" x14ac:dyDescent="0.2">
      <c r="A276" s="22" t="s">
        <v>409</v>
      </c>
      <c r="B276" s="23" t="s">
        <v>410</v>
      </c>
      <c r="C276" s="24">
        <f>+[6]BS17A!$D1957</f>
        <v>0</v>
      </c>
      <c r="D276" s="25">
        <f>[6]BS17A!U1957</f>
        <v>365020</v>
      </c>
      <c r="E276" s="146">
        <f>+[6]BS17A!$V1957</f>
        <v>0</v>
      </c>
      <c r="F276" s="8"/>
    </row>
    <row r="277" spans="1:10" ht="15" customHeight="1" x14ac:dyDescent="0.2">
      <c r="A277" s="22" t="s">
        <v>411</v>
      </c>
      <c r="B277" s="23" t="s">
        <v>412</v>
      </c>
      <c r="C277" s="24">
        <f>+[6]BS17A!$D1958</f>
        <v>0</v>
      </c>
      <c r="D277" s="25">
        <f>[6]BS17A!U1958</f>
        <v>378270</v>
      </c>
      <c r="E277" s="146">
        <f>+[6]BS17A!$V1958</f>
        <v>0</v>
      </c>
      <c r="F277" s="8"/>
    </row>
    <row r="278" spans="1:10" ht="15" customHeight="1" x14ac:dyDescent="0.2">
      <c r="A278" s="29" t="s">
        <v>413</v>
      </c>
      <c r="B278" s="39" t="s">
        <v>414</v>
      </c>
      <c r="C278" s="31">
        <f>+[6]BS17A!$D1959</f>
        <v>0</v>
      </c>
      <c r="D278" s="40">
        <f>[6]BS17A!U1959</f>
        <v>236360</v>
      </c>
      <c r="E278" s="153">
        <f>+[6]BS17A!$V1959</f>
        <v>0</v>
      </c>
      <c r="F278" s="200"/>
    </row>
    <row r="279" spans="1:10" ht="15" customHeight="1" x14ac:dyDescent="0.2">
      <c r="A279" s="201" t="s">
        <v>415</v>
      </c>
      <c r="B279" s="202" t="s">
        <v>416</v>
      </c>
      <c r="C279" s="203">
        <f>+[6]BS17A!$D1960</f>
        <v>90</v>
      </c>
      <c r="D279" s="204">
        <f>[6]BS17A!U1960</f>
        <v>32140</v>
      </c>
      <c r="E279" s="189">
        <f>+[6]BS17A!$V1960</f>
        <v>2892600</v>
      </c>
      <c r="F279" s="200"/>
    </row>
    <row r="280" spans="1:10" ht="15" customHeight="1" x14ac:dyDescent="0.2">
      <c r="A280" s="130"/>
      <c r="B280" s="205" t="s">
        <v>417</v>
      </c>
      <c r="C280" s="44">
        <f>SUM(C240:C279)</f>
        <v>90</v>
      </c>
      <c r="D280" s="151"/>
      <c r="E280" s="152">
        <f>SUM(E240:E279)</f>
        <v>2892600</v>
      </c>
      <c r="F280" s="200"/>
    </row>
    <row r="281" spans="1:10" ht="18" customHeight="1" x14ac:dyDescent="0.2">
      <c r="A281" s="183"/>
      <c r="B281" s="8"/>
      <c r="C281" s="8"/>
      <c r="D281" s="183"/>
      <c r="E281" s="183"/>
      <c r="F281" s="8"/>
    </row>
    <row r="282" spans="1:10" ht="18" customHeight="1" x14ac:dyDescent="0.2">
      <c r="A282" s="183"/>
      <c r="B282" s="185"/>
      <c r="C282" s="185"/>
      <c r="D282" s="183"/>
      <c r="E282" s="183"/>
      <c r="F282" s="206"/>
      <c r="G282" s="207"/>
      <c r="J282" s="208"/>
    </row>
    <row r="283" spans="1:10" ht="12.75" customHeight="1" x14ac:dyDescent="0.2">
      <c r="A283" s="251" t="s">
        <v>418</v>
      </c>
      <c r="B283" s="254"/>
      <c r="C283" s="254"/>
      <c r="D283" s="254"/>
      <c r="E283" s="255"/>
      <c r="F283" s="8"/>
    </row>
    <row r="284" spans="1:10" ht="44.25" customHeight="1" x14ac:dyDescent="0.2">
      <c r="A284" s="11" t="s">
        <v>8</v>
      </c>
      <c r="B284" s="11" t="s">
        <v>418</v>
      </c>
      <c r="C284" s="12" t="s">
        <v>339</v>
      </c>
      <c r="D284" s="13" t="s">
        <v>11</v>
      </c>
      <c r="E284" s="14" t="s">
        <v>12</v>
      </c>
      <c r="F284" s="200"/>
    </row>
    <row r="285" spans="1:10" ht="15" customHeight="1" x14ac:dyDescent="0.2">
      <c r="A285" s="17" t="s">
        <v>419</v>
      </c>
      <c r="B285" s="209" t="s">
        <v>420</v>
      </c>
      <c r="C285" s="19">
        <f>+[6]BS17A!$D1962</f>
        <v>6</v>
      </c>
      <c r="D285" s="37">
        <f>+[6]BS17A!$U1962</f>
        <v>6320</v>
      </c>
      <c r="E285" s="145">
        <f>+[6]BS17A!$V1962</f>
        <v>37920</v>
      </c>
      <c r="F285" s="8"/>
    </row>
    <row r="286" spans="1:10" ht="15" customHeight="1" x14ac:dyDescent="0.2">
      <c r="A286" s="22" t="s">
        <v>421</v>
      </c>
      <c r="B286" s="210" t="s">
        <v>422</v>
      </c>
      <c r="C286" s="24">
        <f>+[6]BS17A!$D1963</f>
        <v>0</v>
      </c>
      <c r="D286" s="25">
        <f>+[6]BS17A!$U1963</f>
        <v>3370</v>
      </c>
      <c r="E286" s="146">
        <f>+[6]BS17A!$V1963</f>
        <v>0</v>
      </c>
      <c r="F286" s="8"/>
    </row>
    <row r="287" spans="1:10" ht="15" customHeight="1" x14ac:dyDescent="0.2">
      <c r="A287" s="22" t="s">
        <v>423</v>
      </c>
      <c r="B287" s="210" t="s">
        <v>424</v>
      </c>
      <c r="C287" s="24">
        <f>+[6]BS17A!$D1964</f>
        <v>2</v>
      </c>
      <c r="D287" s="25">
        <f>+[6]BS17A!$U1964</f>
        <v>12690</v>
      </c>
      <c r="E287" s="146">
        <f>+[6]BS17A!$V1964</f>
        <v>25380</v>
      </c>
      <c r="F287" s="8"/>
    </row>
    <row r="288" spans="1:10" ht="15" customHeight="1" x14ac:dyDescent="0.2">
      <c r="A288" s="22" t="s">
        <v>425</v>
      </c>
      <c r="B288" s="210" t="s">
        <v>426</v>
      </c>
      <c r="C288" s="24">
        <f>+[6]BS17A!$D1965</f>
        <v>0</v>
      </c>
      <c r="D288" s="25">
        <f>+[6]BS17A!$U1965</f>
        <v>130140</v>
      </c>
      <c r="E288" s="146">
        <f>+[6]BS17A!$V1965</f>
        <v>0</v>
      </c>
      <c r="F288" s="8"/>
    </row>
    <row r="289" spans="1:7" ht="15" customHeight="1" x14ac:dyDescent="0.2">
      <c r="A289" s="29" t="s">
        <v>427</v>
      </c>
      <c r="B289" s="211" t="s">
        <v>428</v>
      </c>
      <c r="C289" s="31">
        <f>+[6]BS17A!$D1966</f>
        <v>0</v>
      </c>
      <c r="D289" s="40">
        <f>+[6]BS17A!$U1966</f>
        <v>714770</v>
      </c>
      <c r="E289" s="153">
        <f>+[6]BS17A!$V1966</f>
        <v>0</v>
      </c>
      <c r="F289" s="8"/>
    </row>
    <row r="290" spans="1:7" ht="15" customHeight="1" x14ac:dyDescent="0.2">
      <c r="A290" s="130"/>
      <c r="B290" s="131" t="s">
        <v>429</v>
      </c>
      <c r="C290" s="56">
        <f>SUM(C285:C289)</f>
        <v>8</v>
      </c>
      <c r="D290" s="57"/>
      <c r="E290" s="107">
        <f>SUM(E285:E289)</f>
        <v>63300</v>
      </c>
      <c r="F290" s="8"/>
    </row>
    <row r="291" spans="1:7" ht="18" customHeight="1" x14ac:dyDescent="0.2">
      <c r="A291" s="183"/>
      <c r="B291" s="185"/>
      <c r="C291" s="183"/>
      <c r="D291" s="183"/>
      <c r="E291" s="183"/>
      <c r="F291" s="8"/>
    </row>
    <row r="292" spans="1:7" ht="18" customHeight="1" x14ac:dyDescent="0.2">
      <c r="A292" s="183"/>
      <c r="B292" s="185"/>
      <c r="C292" s="183"/>
      <c r="D292" s="183"/>
      <c r="E292" s="183"/>
      <c r="F292" s="212"/>
      <c r="G292" s="10"/>
    </row>
    <row r="293" spans="1:7" ht="12.75" x14ac:dyDescent="0.2">
      <c r="A293" s="242" t="s">
        <v>430</v>
      </c>
      <c r="B293" s="243"/>
      <c r="C293" s="243"/>
      <c r="D293" s="243"/>
      <c r="E293" s="244"/>
      <c r="F293" s="213"/>
      <c r="G293" s="10"/>
    </row>
    <row r="294" spans="1:7" ht="36.75" customHeight="1" x14ac:dyDescent="0.2">
      <c r="A294" s="11" t="s">
        <v>8</v>
      </c>
      <c r="B294" s="214" t="s">
        <v>430</v>
      </c>
      <c r="C294" s="215" t="s">
        <v>431</v>
      </c>
      <c r="D294" s="13" t="s">
        <v>11</v>
      </c>
      <c r="E294" s="14" t="s">
        <v>12</v>
      </c>
      <c r="F294" s="213"/>
      <c r="G294" s="10"/>
    </row>
    <row r="295" spans="1:7" ht="15" customHeight="1" x14ac:dyDescent="0.2">
      <c r="A295" s="17" t="s">
        <v>432</v>
      </c>
      <c r="B295" s="36" t="s">
        <v>433</v>
      </c>
      <c r="C295" s="19">
        <f>+[6]BS17A!$D1851</f>
        <v>248</v>
      </c>
      <c r="D295" s="37">
        <f>+[6]BS17A!$U1851</f>
        <v>16920</v>
      </c>
      <c r="E295" s="145">
        <f>+[6]BS17A!$V1851</f>
        <v>4196160</v>
      </c>
      <c r="F295" s="8"/>
    </row>
    <row r="296" spans="1:7" ht="15" customHeight="1" x14ac:dyDescent="0.2">
      <c r="A296" s="22" t="s">
        <v>434</v>
      </c>
      <c r="B296" s="28" t="s">
        <v>435</v>
      </c>
      <c r="C296" s="24">
        <f>+[6]BS17A!$D1852</f>
        <v>176</v>
      </c>
      <c r="D296" s="25">
        <f>+[6]BS17A!$U1852</f>
        <v>53200</v>
      </c>
      <c r="E296" s="146">
        <f>+[6]BS17A!$V1852</f>
        <v>9363200</v>
      </c>
      <c r="F296" s="8"/>
    </row>
    <row r="297" spans="1:7" ht="15" customHeight="1" x14ac:dyDescent="0.2">
      <c r="A297" s="22" t="s">
        <v>436</v>
      </c>
      <c r="B297" s="28" t="s">
        <v>437</v>
      </c>
      <c r="C297" s="24">
        <f>+[6]BS17A!$D1853</f>
        <v>0</v>
      </c>
      <c r="D297" s="25">
        <f>+[6]BS17A!$U1853</f>
        <v>65950</v>
      </c>
      <c r="E297" s="146">
        <f>+[6]BS17A!$V1853</f>
        <v>0</v>
      </c>
      <c r="F297" s="8"/>
    </row>
    <row r="298" spans="1:7" ht="15" customHeight="1" x14ac:dyDescent="0.2">
      <c r="A298" s="22" t="s">
        <v>438</v>
      </c>
      <c r="B298" s="28" t="s">
        <v>439</v>
      </c>
      <c r="C298" s="24">
        <f>+[6]BS17A!$D1854</f>
        <v>153</v>
      </c>
      <c r="D298" s="25">
        <f>+[6]BS17A!$U1854</f>
        <v>2320</v>
      </c>
      <c r="E298" s="146">
        <f>+[6]BS17A!$V1854</f>
        <v>354960</v>
      </c>
      <c r="F298" s="8"/>
    </row>
    <row r="299" spans="1:7" ht="15" customHeight="1" x14ac:dyDescent="0.2">
      <c r="A299" s="22" t="s">
        <v>440</v>
      </c>
      <c r="B299" s="28" t="s">
        <v>441</v>
      </c>
      <c r="C299" s="24">
        <f>+[6]BS17A!$D1855</f>
        <v>0</v>
      </c>
      <c r="D299" s="25">
        <f>+[6]BS17A!$U1855</f>
        <v>70</v>
      </c>
      <c r="E299" s="146">
        <f>+[6]BS17A!$V1855</f>
        <v>0</v>
      </c>
      <c r="F299" s="8"/>
    </row>
    <row r="300" spans="1:7" ht="15" customHeight="1" x14ac:dyDescent="0.2">
      <c r="A300" s="22" t="s">
        <v>442</v>
      </c>
      <c r="B300" s="23" t="s">
        <v>443</v>
      </c>
      <c r="C300" s="24">
        <f>+[6]BS17A!$D1856</f>
        <v>0</v>
      </c>
      <c r="D300" s="25">
        <f>+[6]BS17A!$U1856</f>
        <v>140030</v>
      </c>
      <c r="E300" s="146">
        <f>+[6]BS17A!$V1856</f>
        <v>0</v>
      </c>
      <c r="F300" s="8"/>
    </row>
    <row r="301" spans="1:7" ht="15" customHeight="1" x14ac:dyDescent="0.2">
      <c r="A301" s="29" t="s">
        <v>444</v>
      </c>
      <c r="B301" s="43" t="s">
        <v>445</v>
      </c>
      <c r="C301" s="31">
        <f>+[6]BS17A!$D1857</f>
        <v>0</v>
      </c>
      <c r="D301" s="40">
        <f>+[6]BS17A!$U1857</f>
        <v>9520</v>
      </c>
      <c r="E301" s="153">
        <f>+[6]BS17A!$V1857</f>
        <v>0</v>
      </c>
      <c r="F301" s="8"/>
    </row>
    <row r="302" spans="1:7" ht="15" customHeight="1" x14ac:dyDescent="0.2">
      <c r="A302" s="96"/>
      <c r="B302" s="246" t="s">
        <v>446</v>
      </c>
      <c r="C302" s="247"/>
      <c r="D302" s="188"/>
      <c r="E302" s="217">
        <f>SUM(E295:E301)</f>
        <v>13914320</v>
      </c>
      <c r="F302" s="8"/>
    </row>
    <row r="303" spans="1:7" ht="12.75" x14ac:dyDescent="0.2">
      <c r="A303" s="8"/>
      <c r="B303" s="8"/>
      <c r="C303" s="8"/>
      <c r="D303" s="8"/>
      <c r="E303" s="8"/>
      <c r="F303" s="175"/>
      <c r="G303" s="182"/>
    </row>
    <row r="304" spans="1:7" ht="12.75" x14ac:dyDescent="0.2">
      <c r="A304" s="8"/>
      <c r="B304" s="8"/>
      <c r="C304" s="8"/>
      <c r="D304" s="8"/>
      <c r="E304" s="8"/>
      <c r="F304" s="175"/>
      <c r="G304" s="182"/>
    </row>
    <row r="305" spans="1:7" ht="12.75" x14ac:dyDescent="0.2">
      <c r="A305" s="239" t="s">
        <v>447</v>
      </c>
      <c r="B305" s="240"/>
      <c r="C305" s="240"/>
      <c r="D305" s="240"/>
      <c r="E305" s="241"/>
      <c r="F305" s="175"/>
      <c r="G305" s="182"/>
    </row>
    <row r="306" spans="1:7" ht="12.75" x14ac:dyDescent="0.2">
      <c r="A306" s="218"/>
      <c r="B306" s="248" t="s">
        <v>448</v>
      </c>
      <c r="C306" s="249"/>
      <c r="D306" s="250"/>
      <c r="E306" s="219">
        <f>+E231+E236+E280+E290+E302</f>
        <v>24223510</v>
      </c>
      <c r="F306" s="8"/>
    </row>
    <row r="307" spans="1:7" ht="12.75" x14ac:dyDescent="0.2">
      <c r="A307" s="8"/>
      <c r="B307" s="8"/>
      <c r="C307" s="8"/>
      <c r="D307" s="8"/>
      <c r="E307" s="8"/>
      <c r="F307" s="175"/>
      <c r="G307" s="182"/>
    </row>
    <row r="308" spans="1:7" ht="12.75" x14ac:dyDescent="0.2">
      <c r="A308" s="8"/>
      <c r="B308" s="8"/>
      <c r="C308" s="8"/>
      <c r="D308" s="8"/>
      <c r="E308" s="8"/>
      <c r="F308" s="175"/>
      <c r="G308" s="182"/>
    </row>
    <row r="309" spans="1:7" ht="12.75" x14ac:dyDescent="0.2">
      <c r="A309" s="239" t="s">
        <v>449</v>
      </c>
      <c r="B309" s="240"/>
      <c r="C309" s="240"/>
      <c r="D309" s="240"/>
      <c r="E309" s="241"/>
      <c r="F309" s="175"/>
      <c r="G309" s="182"/>
    </row>
    <row r="310" spans="1:7" ht="25.5" x14ac:dyDescent="0.2">
      <c r="A310" s="242" t="s">
        <v>450</v>
      </c>
      <c r="B310" s="243"/>
      <c r="C310" s="243"/>
      <c r="D310" s="244"/>
      <c r="E310" s="11" t="s">
        <v>12</v>
      </c>
      <c r="F310" s="175"/>
      <c r="G310" s="182"/>
    </row>
    <row r="311" spans="1:7" ht="15" customHeight="1" x14ac:dyDescent="0.2">
      <c r="A311" s="218"/>
      <c r="B311" s="248" t="s">
        <v>451</v>
      </c>
      <c r="C311" s="249"/>
      <c r="D311" s="250"/>
      <c r="E311" s="219">
        <f>+E50+E76+E84+F109+E116+C121+E148+E155+E167+E203+E217+C224+E306</f>
        <v>614830815</v>
      </c>
      <c r="F311" s="175"/>
      <c r="G311" s="182"/>
    </row>
    <row r="312" spans="1:7" ht="18" customHeight="1" x14ac:dyDescent="0.2">
      <c r="A312" s="8"/>
      <c r="B312" s="8"/>
      <c r="C312" s="8"/>
      <c r="D312" s="8"/>
      <c r="E312" s="8"/>
      <c r="F312" s="5"/>
    </row>
    <row r="313" spans="1:7" ht="18" customHeight="1" x14ac:dyDescent="0.2">
      <c r="A313" s="8"/>
      <c r="B313" s="8"/>
      <c r="C313" s="8"/>
      <c r="D313" s="8"/>
      <c r="E313" s="8"/>
      <c r="F313" s="5"/>
    </row>
    <row r="314" spans="1:7" ht="18" customHeight="1" x14ac:dyDescent="0.2">
      <c r="A314" s="239" t="s">
        <v>452</v>
      </c>
      <c r="B314" s="240"/>
      <c r="C314" s="241"/>
      <c r="D314" s="8"/>
      <c r="E314" s="8"/>
      <c r="F314" s="5"/>
    </row>
    <row r="315" spans="1:7" ht="18" customHeight="1" x14ac:dyDescent="0.2">
      <c r="A315" s="242" t="s">
        <v>453</v>
      </c>
      <c r="B315" s="243"/>
      <c r="C315" s="244"/>
      <c r="D315" s="8"/>
      <c r="E315" s="8"/>
      <c r="F315" s="5"/>
    </row>
    <row r="316" spans="1:7" ht="30.75" customHeight="1" x14ac:dyDescent="0.2">
      <c r="A316" s="239" t="s">
        <v>454</v>
      </c>
      <c r="B316" s="240"/>
      <c r="C316" s="11" t="s">
        <v>455</v>
      </c>
      <c r="D316" s="8"/>
      <c r="E316" s="8"/>
      <c r="F316" s="8"/>
    </row>
    <row r="317" spans="1:7" ht="15" customHeight="1" x14ac:dyDescent="0.2">
      <c r="A317" s="220" t="s">
        <v>456</v>
      </c>
      <c r="B317" s="191"/>
      <c r="C317" s="221"/>
      <c r="D317" s="8"/>
      <c r="E317" s="8"/>
      <c r="F317" s="8"/>
    </row>
    <row r="318" spans="1:7" ht="15" customHeight="1" x14ac:dyDescent="0.2">
      <c r="A318" s="24" t="s">
        <v>457</v>
      </c>
      <c r="B318" s="193"/>
      <c r="C318" s="222"/>
      <c r="D318" s="8"/>
      <c r="E318" s="8"/>
      <c r="F318" s="8"/>
    </row>
    <row r="319" spans="1:7" ht="15" customHeight="1" x14ac:dyDescent="0.2">
      <c r="A319" s="24" t="s">
        <v>458</v>
      </c>
      <c r="B319" s="193"/>
      <c r="C319" s="222"/>
      <c r="D319" s="8"/>
      <c r="E319" s="8"/>
      <c r="F319" s="8"/>
    </row>
    <row r="320" spans="1:7" ht="15" customHeight="1" x14ac:dyDescent="0.2">
      <c r="A320" s="223" t="s">
        <v>459</v>
      </c>
      <c r="B320" s="193"/>
      <c r="C320" s="222"/>
      <c r="D320" s="8"/>
      <c r="E320" s="8"/>
      <c r="F320" s="8"/>
    </row>
    <row r="321" spans="1:6" ht="15" customHeight="1" x14ac:dyDescent="0.2">
      <c r="A321" s="224" t="s">
        <v>460</v>
      </c>
      <c r="B321" s="225"/>
      <c r="C321" s="226">
        <f>SUM(C317:C320)</f>
        <v>0</v>
      </c>
      <c r="D321" s="8"/>
      <c r="E321" s="8"/>
      <c r="F321" s="8"/>
    </row>
    <row r="322" spans="1:6" ht="15" customHeight="1" x14ac:dyDescent="0.2">
      <c r="A322" s="19" t="s">
        <v>461</v>
      </c>
      <c r="B322" s="227"/>
      <c r="C322" s="221">
        <v>5045267</v>
      </c>
      <c r="D322" s="8"/>
      <c r="E322" s="8"/>
      <c r="F322" s="8"/>
    </row>
    <row r="323" spans="1:6" ht="15" customHeight="1" x14ac:dyDescent="0.2">
      <c r="A323" s="228" t="s">
        <v>462</v>
      </c>
      <c r="B323" s="229"/>
      <c r="C323" s="222"/>
      <c r="D323" s="8"/>
      <c r="E323" s="8"/>
      <c r="F323" s="8"/>
    </row>
    <row r="324" spans="1:6" ht="15" customHeight="1" x14ac:dyDescent="0.2">
      <c r="A324" s="24" t="s">
        <v>463</v>
      </c>
      <c r="B324" s="229"/>
      <c r="C324" s="222"/>
      <c r="D324" s="8"/>
      <c r="E324" s="8"/>
      <c r="F324" s="8"/>
    </row>
    <row r="325" spans="1:6" ht="15" customHeight="1" x14ac:dyDescent="0.2">
      <c r="A325" s="24" t="s">
        <v>464</v>
      </c>
      <c r="B325" s="229"/>
      <c r="C325" s="222"/>
      <c r="D325" s="8"/>
      <c r="E325" s="8"/>
      <c r="F325" s="8"/>
    </row>
    <row r="326" spans="1:6" ht="15" customHeight="1" x14ac:dyDescent="0.2">
      <c r="A326" s="228" t="s">
        <v>465</v>
      </c>
      <c r="B326" s="229"/>
      <c r="C326" s="222"/>
      <c r="D326" s="8"/>
      <c r="E326" s="8"/>
      <c r="F326" s="8"/>
    </row>
    <row r="327" spans="1:6" ht="15" customHeight="1" x14ac:dyDescent="0.2">
      <c r="A327" s="228" t="s">
        <v>466</v>
      </c>
      <c r="B327" s="229"/>
      <c r="C327" s="222"/>
      <c r="D327" s="8"/>
      <c r="E327" s="8"/>
      <c r="F327" s="8"/>
    </row>
    <row r="328" spans="1:6" ht="15" customHeight="1" x14ac:dyDescent="0.2">
      <c r="A328" s="230" t="s">
        <v>467</v>
      </c>
      <c r="B328" s="231"/>
      <c r="C328" s="232">
        <v>36790337</v>
      </c>
      <c r="D328" s="8"/>
      <c r="E328" s="8"/>
      <c r="F328" s="8"/>
    </row>
    <row r="329" spans="1:6" ht="15" customHeight="1" x14ac:dyDescent="0.2">
      <c r="A329" s="44"/>
      <c r="B329" s="233" t="s">
        <v>468</v>
      </c>
      <c r="C329" s="163">
        <f>SUM(C321:C328)</f>
        <v>41835604</v>
      </c>
      <c r="D329" s="8"/>
      <c r="E329" s="8"/>
      <c r="F329" s="8"/>
    </row>
    <row r="330" spans="1:6" ht="12.75" x14ac:dyDescent="0.2">
      <c r="A330" s="8"/>
      <c r="B330" s="8"/>
      <c r="C330" s="8"/>
      <c r="D330" s="8"/>
      <c r="E330" s="8"/>
      <c r="F330" s="5"/>
    </row>
    <row r="331" spans="1:6" ht="12.75" x14ac:dyDescent="0.2">
      <c r="A331" s="8"/>
      <c r="B331" s="8"/>
      <c r="C331" s="8"/>
      <c r="D331" s="8"/>
      <c r="E331" s="8"/>
      <c r="F331" s="5"/>
    </row>
    <row r="332" spans="1:6" ht="12.75" x14ac:dyDescent="0.2">
      <c r="A332" s="8"/>
      <c r="B332" s="8"/>
      <c r="C332" s="8"/>
      <c r="D332" s="8"/>
      <c r="E332" s="8"/>
      <c r="F332" s="5"/>
    </row>
    <row r="333" spans="1:6" ht="12.75" x14ac:dyDescent="0.2">
      <c r="A333" s="183"/>
      <c r="B333" s="183"/>
      <c r="C333" s="183"/>
      <c r="D333" s="183"/>
      <c r="E333" s="183"/>
      <c r="F333" s="212"/>
    </row>
    <row r="334" spans="1:6" ht="12.75" x14ac:dyDescent="0.2">
      <c r="A334" s="183"/>
      <c r="B334" s="183"/>
      <c r="C334" s="183"/>
      <c r="D334" s="183"/>
      <c r="E334" s="245" t="str">
        <f>[6]NOMBRE!B12</f>
        <v>SRA. MARIA INES NUÑEZ GONZALEZ</v>
      </c>
      <c r="F334" s="245"/>
    </row>
    <row r="335" spans="1:6" ht="12.75" x14ac:dyDescent="0.2">
      <c r="A335" s="183"/>
      <c r="B335" s="183"/>
      <c r="C335" s="183"/>
      <c r="D335" s="185"/>
      <c r="E335" s="238" t="str">
        <f>[6]NOMBRE!A12</f>
        <v>Jefe de Estadisticas</v>
      </c>
      <c r="F335" s="238"/>
    </row>
    <row r="336" spans="1:6" ht="12.75" x14ac:dyDescent="0.2">
      <c r="A336" s="183"/>
      <c r="B336" s="183"/>
      <c r="C336" s="183"/>
      <c r="D336" s="183"/>
      <c r="E336" s="234"/>
      <c r="F336" s="235"/>
    </row>
    <row r="337" spans="1:6" ht="12.75" x14ac:dyDescent="0.2">
      <c r="A337" s="183"/>
      <c r="B337" s="183"/>
      <c r="C337" s="183"/>
      <c r="D337" s="183"/>
      <c r="E337" s="235"/>
      <c r="F337" s="235"/>
    </row>
    <row r="338" spans="1:6" ht="12.75" x14ac:dyDescent="0.2">
      <c r="A338" s="183"/>
      <c r="B338" s="183"/>
      <c r="C338" s="183"/>
      <c r="D338" s="183"/>
      <c r="E338" s="235"/>
      <c r="F338" s="235"/>
    </row>
    <row r="339" spans="1:6" ht="12.75" x14ac:dyDescent="0.2">
      <c r="A339" s="183"/>
      <c r="B339" s="183"/>
      <c r="C339" s="183"/>
      <c r="D339" s="183"/>
      <c r="E339" s="235"/>
      <c r="F339" s="235"/>
    </row>
    <row r="340" spans="1:6" ht="12.75" x14ac:dyDescent="0.2">
      <c r="A340" s="183"/>
      <c r="B340" s="183"/>
      <c r="C340" s="183"/>
      <c r="D340" s="183"/>
      <c r="E340" s="235"/>
      <c r="F340" s="235"/>
    </row>
    <row r="341" spans="1:6" ht="12.75" x14ac:dyDescent="0.2">
      <c r="A341" s="183"/>
      <c r="B341" s="183"/>
      <c r="C341" s="183"/>
      <c r="D341" s="183"/>
      <c r="E341" s="235"/>
      <c r="F341" s="235"/>
    </row>
    <row r="342" spans="1:6" ht="12.75" x14ac:dyDescent="0.2">
      <c r="A342" s="183"/>
      <c r="B342" s="183"/>
      <c r="C342" s="183"/>
      <c r="D342" s="183"/>
      <c r="E342" s="235"/>
      <c r="F342" s="235"/>
    </row>
    <row r="343" spans="1:6" ht="12.75" x14ac:dyDescent="0.2">
      <c r="A343" s="183"/>
      <c r="B343" s="183"/>
      <c r="C343" s="183"/>
      <c r="D343" s="183"/>
      <c r="E343" s="245" t="str">
        <f>[6]NOMBRE!B11</f>
        <v xml:space="preserve">DR. RUBEN BRAVO CASTILLO </v>
      </c>
      <c r="F343" s="245"/>
    </row>
    <row r="344" spans="1:6" ht="22.5" customHeight="1" x14ac:dyDescent="0.2">
      <c r="A344" s="183"/>
      <c r="B344" s="183"/>
      <c r="C344" s="183"/>
      <c r="D344" s="212"/>
      <c r="E344" s="238" t="str">
        <f>CONCATENATE("Director ",[6]NOMBRE!B1)</f>
        <v xml:space="preserve">Director </v>
      </c>
      <c r="F344" s="238"/>
    </row>
    <row r="345" spans="1:6" ht="12.75" x14ac:dyDescent="0.2">
      <c r="A345" s="183"/>
      <c r="B345" s="183"/>
      <c r="C345" s="183"/>
      <c r="D345" s="236"/>
      <c r="E345" s="183"/>
      <c r="F345" s="212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27:E227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0:E170"/>
    <mergeCell ref="A206:E206"/>
    <mergeCell ref="A220:C220"/>
    <mergeCell ref="B311:D311"/>
    <mergeCell ref="A234:E234"/>
    <mergeCell ref="A238:E238"/>
    <mergeCell ref="A254:E254"/>
    <mergeCell ref="A273:E273"/>
    <mergeCell ref="A283:E283"/>
    <mergeCell ref="A293:E293"/>
    <mergeCell ref="B302:C302"/>
    <mergeCell ref="A305:E305"/>
    <mergeCell ref="B306:D306"/>
    <mergeCell ref="A309:E309"/>
    <mergeCell ref="A310:D310"/>
    <mergeCell ref="E344:F344"/>
    <mergeCell ref="A314:C314"/>
    <mergeCell ref="A315:C315"/>
    <mergeCell ref="A316:B316"/>
    <mergeCell ref="E334:F334"/>
    <mergeCell ref="E335:F335"/>
    <mergeCell ref="E343:F34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workbookViewId="0">
      <selection sqref="A1:XFD1048576"/>
    </sheetView>
  </sheetViews>
  <sheetFormatPr baseColWidth="10" defaultRowHeight="10.5" x14ac:dyDescent="0.15"/>
  <cols>
    <col min="1" max="1" width="15" style="4" customWidth="1"/>
    <col min="2" max="2" width="74" style="4" customWidth="1"/>
    <col min="3" max="5" width="21.42578125" style="4" customWidth="1"/>
    <col min="6" max="6" width="19.5703125" style="237" customWidth="1"/>
    <col min="7" max="7" width="2.42578125" style="4" customWidth="1"/>
    <col min="8" max="9" width="5.140625" style="4" customWidth="1"/>
    <col min="10" max="256" width="11.42578125" style="4"/>
    <col min="257" max="257" width="15" style="4" customWidth="1"/>
    <col min="258" max="258" width="74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15" style="4" customWidth="1"/>
    <col min="514" max="514" width="74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15" style="4" customWidth="1"/>
    <col min="770" max="770" width="74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15" style="4" customWidth="1"/>
    <col min="1026" max="1026" width="74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15" style="4" customWidth="1"/>
    <col min="1282" max="1282" width="74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15" style="4" customWidth="1"/>
    <col min="1538" max="1538" width="74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15" style="4" customWidth="1"/>
    <col min="1794" max="1794" width="74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15" style="4" customWidth="1"/>
    <col min="2050" max="2050" width="74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15" style="4" customWidth="1"/>
    <col min="2306" max="2306" width="74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15" style="4" customWidth="1"/>
    <col min="2562" max="2562" width="74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15" style="4" customWidth="1"/>
    <col min="2818" max="2818" width="74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15" style="4" customWidth="1"/>
    <col min="3074" max="3074" width="74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15" style="4" customWidth="1"/>
    <col min="3330" max="3330" width="74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15" style="4" customWidth="1"/>
    <col min="3586" max="3586" width="74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15" style="4" customWidth="1"/>
    <col min="3842" max="3842" width="74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15" style="4" customWidth="1"/>
    <col min="4098" max="4098" width="74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15" style="4" customWidth="1"/>
    <col min="4354" max="4354" width="74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15" style="4" customWidth="1"/>
    <col min="4610" max="4610" width="74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15" style="4" customWidth="1"/>
    <col min="4866" max="4866" width="74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15" style="4" customWidth="1"/>
    <col min="5122" max="5122" width="74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15" style="4" customWidth="1"/>
    <col min="5378" max="5378" width="74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15" style="4" customWidth="1"/>
    <col min="5634" max="5634" width="74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15" style="4" customWidth="1"/>
    <col min="5890" max="5890" width="74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15" style="4" customWidth="1"/>
    <col min="6146" max="6146" width="74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15" style="4" customWidth="1"/>
    <col min="6402" max="6402" width="74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15" style="4" customWidth="1"/>
    <col min="6658" max="6658" width="74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15" style="4" customWidth="1"/>
    <col min="6914" max="6914" width="74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15" style="4" customWidth="1"/>
    <col min="7170" max="7170" width="74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15" style="4" customWidth="1"/>
    <col min="7426" max="7426" width="74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15" style="4" customWidth="1"/>
    <col min="7682" max="7682" width="74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15" style="4" customWidth="1"/>
    <col min="7938" max="7938" width="74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15" style="4" customWidth="1"/>
    <col min="8194" max="8194" width="74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15" style="4" customWidth="1"/>
    <col min="8450" max="8450" width="74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15" style="4" customWidth="1"/>
    <col min="8706" max="8706" width="74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15" style="4" customWidth="1"/>
    <col min="8962" max="8962" width="74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15" style="4" customWidth="1"/>
    <col min="9218" max="9218" width="74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15" style="4" customWidth="1"/>
    <col min="9474" max="9474" width="74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15" style="4" customWidth="1"/>
    <col min="9730" max="9730" width="74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15" style="4" customWidth="1"/>
    <col min="9986" max="9986" width="74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15" style="4" customWidth="1"/>
    <col min="10242" max="10242" width="74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15" style="4" customWidth="1"/>
    <col min="10498" max="10498" width="74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15" style="4" customWidth="1"/>
    <col min="10754" max="10754" width="74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15" style="4" customWidth="1"/>
    <col min="11010" max="11010" width="74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15" style="4" customWidth="1"/>
    <col min="11266" max="11266" width="74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15" style="4" customWidth="1"/>
    <col min="11522" max="11522" width="74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15" style="4" customWidth="1"/>
    <col min="11778" max="11778" width="74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15" style="4" customWidth="1"/>
    <col min="12034" max="12034" width="74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15" style="4" customWidth="1"/>
    <col min="12290" max="12290" width="74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15" style="4" customWidth="1"/>
    <col min="12546" max="12546" width="74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15" style="4" customWidth="1"/>
    <col min="12802" max="12802" width="74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15" style="4" customWidth="1"/>
    <col min="13058" max="13058" width="74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15" style="4" customWidth="1"/>
    <col min="13314" max="13314" width="74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15" style="4" customWidth="1"/>
    <col min="13570" max="13570" width="74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15" style="4" customWidth="1"/>
    <col min="13826" max="13826" width="74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15" style="4" customWidth="1"/>
    <col min="14082" max="14082" width="74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15" style="4" customWidth="1"/>
    <col min="14338" max="14338" width="74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15" style="4" customWidth="1"/>
    <col min="14594" max="14594" width="74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15" style="4" customWidth="1"/>
    <col min="14850" max="14850" width="74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15" style="4" customWidth="1"/>
    <col min="15106" max="15106" width="74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15" style="4" customWidth="1"/>
    <col min="15362" max="15362" width="74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15" style="4" customWidth="1"/>
    <col min="15618" max="15618" width="74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15" style="4" customWidth="1"/>
    <col min="15874" max="15874" width="74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15" style="4" customWidth="1"/>
    <col min="16130" max="16130" width="74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271" t="s">
        <v>1</v>
      </c>
      <c r="D1" s="272"/>
      <c r="E1" s="273"/>
      <c r="F1" s="3"/>
    </row>
    <row r="2" spans="1:7" ht="12.75" x14ac:dyDescent="0.2">
      <c r="A2" s="1" t="str">
        <f>CONCATENATE("COMUNA: ",[7]NOMBRE!B2," - ","( ",[7]NOMBRE!C2,[7]NOMBRE!D2,[7]NOMBRE!E2,[7]NOMBRE!F2,[7]NOMBRE!G2," )")</f>
        <v>COMUNA: LINARES  - ( 07401 )</v>
      </c>
      <c r="B2" s="2"/>
      <c r="C2" s="268"/>
      <c r="D2" s="269"/>
      <c r="E2" s="270"/>
      <c r="F2" s="5"/>
      <c r="G2" s="6"/>
    </row>
    <row r="3" spans="1:7" ht="12.75" x14ac:dyDescent="0.2">
      <c r="A3" s="1" t="str">
        <f>CONCATENATE("ESTABLECIMIENTO: ",[7]NOMBRE!B3," - ","( ",[7]NOMBRE!C3,[7]NOMBRE!D3,[7]NOMBRE!E3,[7]NOMBRE!F3,[7]NOMBRE!G3," )")</f>
        <v>ESTABLECIMIENTO: LINARES  - ( 16108 )</v>
      </c>
      <c r="B3" s="2"/>
      <c r="C3" s="271" t="s">
        <v>2</v>
      </c>
      <c r="D3" s="272"/>
      <c r="E3" s="273"/>
      <c r="F3" s="5"/>
      <c r="G3" s="7"/>
    </row>
    <row r="4" spans="1:7" ht="12.75" x14ac:dyDescent="0.2">
      <c r="A4" s="1" t="str">
        <f>CONCATENATE("MES: ",[7]NOMBRE!B6," - ","( ",[7]NOMBRE!C6,[7]NOMBRE!D6," )")</f>
        <v>MES: JULIO - ( 07 )</v>
      </c>
      <c r="B4" s="2"/>
      <c r="C4" s="268" t="str">
        <f>CONCATENATE([7]NOMBRE!B6," ","( ",[7]NOMBRE!C6,[7]NOMBRE!D6," )")</f>
        <v>JULIO ( 07 )</v>
      </c>
      <c r="D4" s="269"/>
      <c r="E4" s="270"/>
      <c r="F4" s="5"/>
      <c r="G4" s="7"/>
    </row>
    <row r="5" spans="1:7" ht="12.75" x14ac:dyDescent="0.2">
      <c r="A5" s="1" t="str">
        <f>CONCATENATE("AÑO: ",[7]NOMBRE!B7)</f>
        <v>AÑO: 2011</v>
      </c>
      <c r="B5" s="2"/>
      <c r="C5" s="271" t="s">
        <v>3</v>
      </c>
      <c r="D5" s="272"/>
      <c r="E5" s="273"/>
      <c r="F5" s="5"/>
      <c r="G5" s="7"/>
    </row>
    <row r="6" spans="1:7" ht="12.75" x14ac:dyDescent="0.2">
      <c r="A6" s="8"/>
      <c r="B6" s="8"/>
      <c r="C6" s="268">
        <f>[7]NOMBRE!B7</f>
        <v>2011</v>
      </c>
      <c r="D6" s="269"/>
      <c r="E6" s="270"/>
      <c r="F6" s="5"/>
      <c r="G6" s="7"/>
    </row>
    <row r="7" spans="1:7" ht="12.75" x14ac:dyDescent="0.2">
      <c r="A7" s="263" t="s">
        <v>4</v>
      </c>
      <c r="B7" s="264"/>
      <c r="C7" s="265" t="s">
        <v>5</v>
      </c>
      <c r="D7" s="266"/>
      <c r="E7" s="267"/>
      <c r="F7" s="5"/>
      <c r="G7" s="7"/>
    </row>
    <row r="8" spans="1:7" ht="12.75" x14ac:dyDescent="0.2">
      <c r="A8" s="8"/>
      <c r="B8" s="9" t="s">
        <v>6</v>
      </c>
      <c r="C8" s="268" t="str">
        <f>CONCATENATE([7]NOMBRE!B3," ","( ",[7]NOMBRE!C3,[7]NOMBRE!D3,[7]NOMBRE!E3,[7]NOMBRE!F3,[7]NOMBRE!G3," )")</f>
        <v>LINARES  ( 16108 )</v>
      </c>
      <c r="D8" s="269"/>
      <c r="E8" s="270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256" t="s">
        <v>7</v>
      </c>
      <c r="B11" s="252"/>
      <c r="C11" s="252"/>
      <c r="D11" s="252"/>
      <c r="E11" s="253"/>
      <c r="F11" s="5"/>
    </row>
    <row r="12" spans="1:7" ht="43.5" customHeight="1" x14ac:dyDescent="0.2">
      <c r="A12" s="11" t="s">
        <v>8</v>
      </c>
      <c r="B12" s="11" t="s">
        <v>9</v>
      </c>
      <c r="C12" s="12" t="s">
        <v>10</v>
      </c>
      <c r="D12" s="13" t="s">
        <v>11</v>
      </c>
      <c r="E12" s="14" t="s">
        <v>12</v>
      </c>
      <c r="F12" s="8"/>
    </row>
    <row r="13" spans="1:7" ht="12.75" customHeight="1" x14ac:dyDescent="0.2">
      <c r="A13" s="242" t="s">
        <v>13</v>
      </c>
      <c r="B13" s="243"/>
      <c r="C13" s="243"/>
      <c r="D13" s="243"/>
      <c r="E13" s="244"/>
      <c r="F13" s="8"/>
    </row>
    <row r="14" spans="1:7" ht="15" customHeight="1" x14ac:dyDescent="0.2">
      <c r="A14" s="17" t="s">
        <v>14</v>
      </c>
      <c r="B14" s="18" t="s">
        <v>15</v>
      </c>
      <c r="C14" s="19">
        <f>[7]BS17A!$D13</f>
        <v>0</v>
      </c>
      <c r="D14" s="20">
        <f>[7]BS17A!$U13</f>
        <v>3830</v>
      </c>
      <c r="E14" s="21">
        <f>[7]BS17A!$V13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24">
        <f>[7]BS17A!$D14</f>
        <v>0</v>
      </c>
      <c r="D15" s="25">
        <f>[7]BS17A!$U14</f>
        <v>4820</v>
      </c>
      <c r="E15" s="26">
        <f>[7]BS17A!$V14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24">
        <f>[7]BS17A!$D15</f>
        <v>7409</v>
      </c>
      <c r="D16" s="25">
        <f>[7]BS17A!$U15</f>
        <v>10320</v>
      </c>
      <c r="E16" s="26">
        <f>[7]BS17A!$V15</f>
        <v>76460880</v>
      </c>
      <c r="F16" s="8"/>
    </row>
    <row r="17" spans="1:6" ht="15" customHeight="1" x14ac:dyDescent="0.2">
      <c r="A17" s="22" t="s">
        <v>20</v>
      </c>
      <c r="B17" s="23" t="s">
        <v>21</v>
      </c>
      <c r="C17" s="24">
        <f>[7]BS17A!$D16</f>
        <v>0</v>
      </c>
      <c r="D17" s="25">
        <f>[7]BS17A!$U16</f>
        <v>6170</v>
      </c>
      <c r="E17" s="26">
        <f>[7]BS17A!$V16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24">
        <f>[7]BS17A!$D17</f>
        <v>0</v>
      </c>
      <c r="D18" s="25">
        <f>[7]BS17A!$U17</f>
        <v>6770</v>
      </c>
      <c r="E18" s="26">
        <f>[7]BS17A!$V17</f>
        <v>0</v>
      </c>
      <c r="F18" s="8"/>
    </row>
    <row r="19" spans="1:6" ht="33" customHeight="1" x14ac:dyDescent="0.2">
      <c r="A19" s="22" t="s">
        <v>24</v>
      </c>
      <c r="B19" s="27" t="s">
        <v>25</v>
      </c>
      <c r="C19" s="24">
        <f>[7]BS17A!$D20</f>
        <v>0</v>
      </c>
      <c r="D19" s="25">
        <f>[7]BS17A!$U20</f>
        <v>5210</v>
      </c>
      <c r="E19" s="26">
        <f>[7]BS17A!$V20</f>
        <v>0</v>
      </c>
      <c r="F19" s="8"/>
    </row>
    <row r="20" spans="1:6" ht="42.75" customHeight="1" x14ac:dyDescent="0.2">
      <c r="A20" s="22" t="s">
        <v>26</v>
      </c>
      <c r="B20" s="27" t="s">
        <v>27</v>
      </c>
      <c r="C20" s="24">
        <f>[7]BS17A!$D21</f>
        <v>0</v>
      </c>
      <c r="D20" s="25">
        <f>[7]BS17A!$U21</f>
        <v>6250</v>
      </c>
      <c r="E20" s="26">
        <f>[7]BS17A!$V21</f>
        <v>0</v>
      </c>
      <c r="F20" s="8"/>
    </row>
    <row r="21" spans="1:6" ht="42.75" customHeight="1" x14ac:dyDescent="0.2">
      <c r="A21" s="22" t="s">
        <v>28</v>
      </c>
      <c r="B21" s="27" t="s">
        <v>29</v>
      </c>
      <c r="C21" s="24">
        <f>[7]BS17A!$D22</f>
        <v>0</v>
      </c>
      <c r="D21" s="25">
        <f>[7]BS17A!$U22</f>
        <v>7760</v>
      </c>
      <c r="E21" s="26">
        <f>[7]BS17A!$V22</f>
        <v>0</v>
      </c>
      <c r="F21" s="8"/>
    </row>
    <row r="22" spans="1:6" ht="32.25" customHeight="1" x14ac:dyDescent="0.2">
      <c r="A22" s="22" t="s">
        <v>30</v>
      </c>
      <c r="B22" s="27" t="s">
        <v>31</v>
      </c>
      <c r="C22" s="24">
        <f>[7]BS17A!$D23</f>
        <v>1451</v>
      </c>
      <c r="D22" s="25">
        <f>[7]BS17A!$U23</f>
        <v>5210</v>
      </c>
      <c r="E22" s="26">
        <f>[7]BS17A!$V23</f>
        <v>7559710</v>
      </c>
      <c r="F22" s="8"/>
    </row>
    <row r="23" spans="1:6" ht="40.5" customHeight="1" x14ac:dyDescent="0.2">
      <c r="A23" s="22" t="s">
        <v>32</v>
      </c>
      <c r="B23" s="27" t="s">
        <v>33</v>
      </c>
      <c r="C23" s="24">
        <f>[7]BS17A!$D24</f>
        <v>625</v>
      </c>
      <c r="D23" s="25">
        <f>[7]BS17A!$U24</f>
        <v>6250</v>
      </c>
      <c r="E23" s="26">
        <f>[7]BS17A!$V24</f>
        <v>3906250</v>
      </c>
      <c r="F23" s="8"/>
    </row>
    <row r="24" spans="1:6" ht="27" customHeight="1" x14ac:dyDescent="0.2">
      <c r="A24" s="22" t="s">
        <v>34</v>
      </c>
      <c r="B24" s="27" t="s">
        <v>35</v>
      </c>
      <c r="C24" s="24">
        <f>[7]BS17A!$D25</f>
        <v>1660</v>
      </c>
      <c r="D24" s="25">
        <f>[7]BS17A!$U25</f>
        <v>7760</v>
      </c>
      <c r="E24" s="26">
        <f>[7]BS17A!$V25</f>
        <v>12881600</v>
      </c>
      <c r="F24" s="8"/>
    </row>
    <row r="25" spans="1:6" ht="15" customHeight="1" x14ac:dyDescent="0.2">
      <c r="A25" s="22" t="s">
        <v>36</v>
      </c>
      <c r="B25" s="28" t="s">
        <v>37</v>
      </c>
      <c r="C25" s="24">
        <f>+[7]BS17A!$D791</f>
        <v>130</v>
      </c>
      <c r="D25" s="25">
        <f>+[7]BS17A!$U791</f>
        <v>6330</v>
      </c>
      <c r="E25" s="26">
        <f>+[7]BS17A!$V791</f>
        <v>822900</v>
      </c>
      <c r="F25" s="8"/>
    </row>
    <row r="26" spans="1:6" ht="15" customHeight="1" x14ac:dyDescent="0.2">
      <c r="A26" s="29" t="s">
        <v>38</v>
      </c>
      <c r="B26" s="30" t="s">
        <v>39</v>
      </c>
      <c r="C26" s="31">
        <f>+[7]BS17A!$D796</f>
        <v>0</v>
      </c>
      <c r="D26" s="32">
        <f>+[7]BS17A!$U796</f>
        <v>26240</v>
      </c>
      <c r="E26" s="33">
        <f>+[7]BS17A!$V796</f>
        <v>0</v>
      </c>
      <c r="F26" s="8"/>
    </row>
    <row r="27" spans="1:6" ht="18" customHeight="1" x14ac:dyDescent="0.2">
      <c r="A27" s="242" t="s">
        <v>40</v>
      </c>
      <c r="B27" s="243"/>
      <c r="C27" s="243"/>
      <c r="D27" s="243"/>
      <c r="E27" s="244"/>
      <c r="F27" s="8"/>
    </row>
    <row r="28" spans="1:6" ht="15" customHeight="1" x14ac:dyDescent="0.2">
      <c r="A28" s="17" t="s">
        <v>41</v>
      </c>
      <c r="B28" s="18" t="s">
        <v>42</v>
      </c>
      <c r="C28" s="19">
        <f>[7]BS17A!$D27</f>
        <v>1320</v>
      </c>
      <c r="D28" s="20">
        <f>[7]BS17A!$U27</f>
        <v>1020</v>
      </c>
      <c r="E28" s="21">
        <f>[7]BS17A!$V27</f>
        <v>1346400</v>
      </c>
      <c r="F28" s="8"/>
    </row>
    <row r="29" spans="1:6" ht="15" customHeight="1" x14ac:dyDescent="0.2">
      <c r="A29" s="22" t="s">
        <v>43</v>
      </c>
      <c r="B29" s="34" t="s">
        <v>44</v>
      </c>
      <c r="C29" s="24">
        <f>[7]BS17A!$D28</f>
        <v>0</v>
      </c>
      <c r="D29" s="25">
        <f>[7]BS17A!$U28</f>
        <v>1740</v>
      </c>
      <c r="E29" s="26">
        <f>[7]BS17A!$V28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24">
        <f>[7]BS17A!$D29</f>
        <v>0</v>
      </c>
      <c r="D30" s="25">
        <f>[7]BS17A!$U29</f>
        <v>550</v>
      </c>
      <c r="E30" s="26">
        <f>[7]BS17A!$V29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24">
        <f>[7]BS17A!$D30</f>
        <v>15</v>
      </c>
      <c r="D31" s="25">
        <f>[7]BS17A!$U30</f>
        <v>1380</v>
      </c>
      <c r="E31" s="26">
        <f>[7]BS17A!$V30</f>
        <v>20700</v>
      </c>
      <c r="F31" s="8"/>
    </row>
    <row r="32" spans="1:6" ht="15" customHeight="1" x14ac:dyDescent="0.2">
      <c r="A32" s="22" t="s">
        <v>49</v>
      </c>
      <c r="B32" s="23" t="s">
        <v>50</v>
      </c>
      <c r="C32" s="24">
        <f>[7]BS17A!$D31</f>
        <v>1241</v>
      </c>
      <c r="D32" s="25">
        <f>[7]BS17A!$U31</f>
        <v>1110</v>
      </c>
      <c r="E32" s="26">
        <f>[7]BS17A!$V31</f>
        <v>1377510</v>
      </c>
      <c r="F32" s="8"/>
    </row>
    <row r="33" spans="1:6" ht="15" customHeight="1" x14ac:dyDescent="0.2">
      <c r="A33" s="22" t="s">
        <v>51</v>
      </c>
      <c r="B33" s="34" t="s">
        <v>52</v>
      </c>
      <c r="C33" s="24">
        <f>[7]BS17A!$D32</f>
        <v>0</v>
      </c>
      <c r="D33" s="25">
        <f>[7]BS17A!$U32</f>
        <v>1020</v>
      </c>
      <c r="E33" s="26">
        <f>[7]BS17A!$V32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24">
        <f>+[7]BS17A!$D792</f>
        <v>0</v>
      </c>
      <c r="D34" s="25">
        <f>+[7]BS17A!$U792</f>
        <v>2480</v>
      </c>
      <c r="E34" s="26">
        <f>+[7]BS17A!$V792</f>
        <v>0</v>
      </c>
      <c r="F34" s="8"/>
    </row>
    <row r="35" spans="1:6" ht="15" customHeight="1" x14ac:dyDescent="0.2">
      <c r="A35" s="22" t="s">
        <v>55</v>
      </c>
      <c r="B35" s="34" t="s">
        <v>56</v>
      </c>
      <c r="C35" s="24">
        <f>+[7]BS17A!$D793</f>
        <v>657</v>
      </c>
      <c r="D35" s="25">
        <f>+[7]BS17A!$U793</f>
        <v>2480</v>
      </c>
      <c r="E35" s="26">
        <f>+[7]BS17A!$V793</f>
        <v>1629360</v>
      </c>
      <c r="F35" s="8"/>
    </row>
    <row r="36" spans="1:6" ht="15" customHeight="1" x14ac:dyDescent="0.2">
      <c r="A36" s="22" t="s">
        <v>57</v>
      </c>
      <c r="B36" s="34" t="s">
        <v>58</v>
      </c>
      <c r="C36" s="24">
        <f>+[7]BS17A!$D794</f>
        <v>1</v>
      </c>
      <c r="D36" s="25">
        <f>+[7]BS17A!$U794</f>
        <v>9880</v>
      </c>
      <c r="E36" s="26">
        <f>+[7]BS17A!$V794</f>
        <v>9880</v>
      </c>
      <c r="F36" s="8"/>
    </row>
    <row r="37" spans="1:6" ht="15" customHeight="1" x14ac:dyDescent="0.2">
      <c r="A37" s="29" t="s">
        <v>59</v>
      </c>
      <c r="B37" s="35" t="s">
        <v>60</v>
      </c>
      <c r="C37" s="31">
        <f>+[7]BS17A!$D795</f>
        <v>14</v>
      </c>
      <c r="D37" s="32">
        <f>+[7]BS17A!$U795</f>
        <v>11570</v>
      </c>
      <c r="E37" s="33">
        <f>+[7]BS17A!$V795</f>
        <v>161980</v>
      </c>
      <c r="F37" s="8"/>
    </row>
    <row r="38" spans="1:6" ht="18" customHeight="1" x14ac:dyDescent="0.2">
      <c r="A38" s="251" t="s">
        <v>61</v>
      </c>
      <c r="B38" s="254"/>
      <c r="C38" s="254"/>
      <c r="D38" s="254"/>
      <c r="E38" s="255"/>
      <c r="F38" s="8"/>
    </row>
    <row r="39" spans="1:6" ht="15" customHeight="1" x14ac:dyDescent="0.2">
      <c r="A39" s="17" t="s">
        <v>62</v>
      </c>
      <c r="B39" s="36" t="s">
        <v>63</v>
      </c>
      <c r="C39" s="19">
        <f>+[7]BS17A!$D797</f>
        <v>0</v>
      </c>
      <c r="D39" s="37">
        <f>+[7]BS17A!$U797</f>
        <v>2882</v>
      </c>
      <c r="E39" s="38">
        <f>+[7]BS17A!$V797</f>
        <v>0</v>
      </c>
      <c r="F39" s="8"/>
    </row>
    <row r="40" spans="1:6" ht="15" customHeight="1" x14ac:dyDescent="0.2">
      <c r="A40" s="29" t="s">
        <v>64</v>
      </c>
      <c r="B40" s="39" t="s">
        <v>65</v>
      </c>
      <c r="C40" s="31">
        <f>+[7]BS17A!$D798</f>
        <v>0</v>
      </c>
      <c r="D40" s="40">
        <f>+[7]BS17A!$U798</f>
        <v>6766</v>
      </c>
      <c r="E40" s="41">
        <f>+[7]BS17A!$V798</f>
        <v>0</v>
      </c>
      <c r="F40" s="8"/>
    </row>
    <row r="41" spans="1:6" ht="18" customHeight="1" x14ac:dyDescent="0.2">
      <c r="A41" s="251" t="s">
        <v>66</v>
      </c>
      <c r="B41" s="254"/>
      <c r="C41" s="254"/>
      <c r="D41" s="254"/>
      <c r="E41" s="255"/>
      <c r="F41" s="8"/>
    </row>
    <row r="42" spans="1:6" ht="15" customHeight="1" x14ac:dyDescent="0.2">
      <c r="A42" s="17" t="s">
        <v>67</v>
      </c>
      <c r="B42" s="42" t="s">
        <v>68</v>
      </c>
      <c r="C42" s="19">
        <f>+[7]BS17A!$D34</f>
        <v>0</v>
      </c>
      <c r="D42" s="37">
        <f>+[7]BS17A!$U34</f>
        <v>3340</v>
      </c>
      <c r="E42" s="38">
        <f>+[7]BS17A!$V34</f>
        <v>0</v>
      </c>
      <c r="F42" s="8"/>
    </row>
    <row r="43" spans="1:6" ht="15" customHeight="1" x14ac:dyDescent="0.2">
      <c r="A43" s="22" t="s">
        <v>69</v>
      </c>
      <c r="B43" s="23" t="s">
        <v>70</v>
      </c>
      <c r="C43" s="24">
        <f>+[7]BS17A!$D35</f>
        <v>567</v>
      </c>
      <c r="D43" s="25">
        <f>+[7]BS17A!$U35</f>
        <v>1840</v>
      </c>
      <c r="E43" s="26">
        <f>+[7]BS17A!$V35</f>
        <v>1043280</v>
      </c>
      <c r="F43" s="8"/>
    </row>
    <row r="44" spans="1:6" ht="15" customHeight="1" x14ac:dyDescent="0.2">
      <c r="A44" s="22" t="s">
        <v>71</v>
      </c>
      <c r="B44" s="23" t="s">
        <v>72</v>
      </c>
      <c r="C44" s="24">
        <f>+[7]BS17A!$D36</f>
        <v>4</v>
      </c>
      <c r="D44" s="25">
        <f>+[7]BS17A!$U36</f>
        <v>1840</v>
      </c>
      <c r="E44" s="26">
        <f>+[7]BS17A!$V36</f>
        <v>7360</v>
      </c>
      <c r="F44" s="8"/>
    </row>
    <row r="45" spans="1:6" ht="15" customHeight="1" x14ac:dyDescent="0.2">
      <c r="A45" s="29" t="s">
        <v>73</v>
      </c>
      <c r="B45" s="43" t="s">
        <v>74</v>
      </c>
      <c r="C45" s="31">
        <f>+[7]BS17A!$D37</f>
        <v>221</v>
      </c>
      <c r="D45" s="40">
        <f>+[7]BS17A!$U37</f>
        <v>550</v>
      </c>
      <c r="E45" s="41">
        <f>+[7]BS17A!$V37</f>
        <v>121550</v>
      </c>
      <c r="F45" s="8"/>
    </row>
    <row r="46" spans="1:6" ht="18" customHeight="1" x14ac:dyDescent="0.2">
      <c r="A46" s="251" t="s">
        <v>75</v>
      </c>
      <c r="B46" s="254"/>
      <c r="C46" s="254"/>
      <c r="D46" s="254"/>
      <c r="E46" s="255"/>
      <c r="F46" s="8"/>
    </row>
    <row r="47" spans="1:6" ht="15" customHeight="1" x14ac:dyDescent="0.2">
      <c r="A47" s="17" t="s">
        <v>76</v>
      </c>
      <c r="B47" s="42" t="s">
        <v>77</v>
      </c>
      <c r="C47" s="19">
        <f>+[7]BS17A!$D39</f>
        <v>39</v>
      </c>
      <c r="D47" s="37">
        <f>+[7]BS17A!$U39</f>
        <v>1590</v>
      </c>
      <c r="E47" s="38">
        <f>+[7]BS17A!$V39</f>
        <v>62010</v>
      </c>
      <c r="F47" s="8"/>
    </row>
    <row r="48" spans="1:6" ht="15" customHeight="1" x14ac:dyDescent="0.2">
      <c r="A48" s="22" t="s">
        <v>78</v>
      </c>
      <c r="B48" s="23" t="s">
        <v>79</v>
      </c>
      <c r="C48" s="24">
        <f>+[7]BS17A!$D40</f>
        <v>27</v>
      </c>
      <c r="D48" s="25">
        <f>+[7]BS17A!$U40</f>
        <v>1590</v>
      </c>
      <c r="E48" s="26">
        <f>+[7]BS17A!$V40</f>
        <v>42930</v>
      </c>
      <c r="F48" s="8"/>
    </row>
    <row r="49" spans="1:7" ht="15" customHeight="1" x14ac:dyDescent="0.2">
      <c r="A49" s="29" t="s">
        <v>80</v>
      </c>
      <c r="B49" s="43" t="s">
        <v>81</v>
      </c>
      <c r="C49" s="31">
        <f>+[7]BS17A!$D41</f>
        <v>0</v>
      </c>
      <c r="D49" s="40">
        <f>+[7]BS17A!$U41</f>
        <v>910</v>
      </c>
      <c r="E49" s="41">
        <f>+[7]BS17A!$V41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15381</v>
      </c>
      <c r="D50" s="46"/>
      <c r="E50" s="47">
        <f>SUM(E14:E49)</f>
        <v>107454300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251" t="s">
        <v>83</v>
      </c>
      <c r="B53" s="254"/>
      <c r="C53" s="254"/>
      <c r="D53" s="254"/>
      <c r="E53" s="255"/>
      <c r="F53" s="51"/>
      <c r="G53" s="52"/>
    </row>
    <row r="54" spans="1:7" ht="38.25" x14ac:dyDescent="0.2">
      <c r="A54" s="11" t="s">
        <v>8</v>
      </c>
      <c r="B54" s="11" t="s">
        <v>84</v>
      </c>
      <c r="C54" s="12" t="s">
        <v>10</v>
      </c>
      <c r="D54" s="53"/>
      <c r="E54" s="14" t="s">
        <v>12</v>
      </c>
      <c r="F54" s="8"/>
    </row>
    <row r="55" spans="1:7" ht="18" customHeight="1" x14ac:dyDescent="0.2">
      <c r="A55" s="54" t="s">
        <v>85</v>
      </c>
      <c r="B55" s="55" t="s">
        <v>86</v>
      </c>
      <c r="C55" s="56">
        <f>+[7]BS17!$D12</f>
        <v>46572</v>
      </c>
      <c r="D55" s="57"/>
      <c r="E55" s="58">
        <f>+E56+E57+E58+E59+E60+E61+E65+E66+E67</f>
        <v>59779370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+[7]BS17!$D13</f>
        <v>17271</v>
      </c>
      <c r="D56" s="61"/>
      <c r="E56" s="62">
        <f>+[7]BS17A!V83</f>
        <v>16122800</v>
      </c>
      <c r="F56" s="8"/>
    </row>
    <row r="57" spans="1:7" ht="15" customHeight="1" x14ac:dyDescent="0.2">
      <c r="A57" s="22" t="s">
        <v>89</v>
      </c>
      <c r="B57" s="28" t="s">
        <v>90</v>
      </c>
      <c r="C57" s="24">
        <f>+[7]BS17!$D14</f>
        <v>20005</v>
      </c>
      <c r="D57" s="63"/>
      <c r="E57" s="64">
        <f>+[7]BS17A!V174</f>
        <v>21553940</v>
      </c>
      <c r="F57" s="8"/>
    </row>
    <row r="58" spans="1:7" ht="15" customHeight="1" x14ac:dyDescent="0.2">
      <c r="A58" s="22" t="s">
        <v>91</v>
      </c>
      <c r="B58" s="28" t="s">
        <v>92</v>
      </c>
      <c r="C58" s="24">
        <f>+[7]BS17!$D15</f>
        <v>1180</v>
      </c>
      <c r="D58" s="63"/>
      <c r="E58" s="64">
        <f>+[7]BS17A!V243</f>
        <v>3811040</v>
      </c>
      <c r="F58" s="8"/>
    </row>
    <row r="59" spans="1:7" ht="15" customHeight="1" x14ac:dyDescent="0.2">
      <c r="A59" s="22" t="s">
        <v>93</v>
      </c>
      <c r="B59" s="28" t="s">
        <v>94</v>
      </c>
      <c r="C59" s="24">
        <f>+[7]BS17!$D16</f>
        <v>0</v>
      </c>
      <c r="D59" s="63"/>
      <c r="E59" s="64">
        <f>+[7]BS17A!V289</f>
        <v>0</v>
      </c>
      <c r="F59" s="8"/>
    </row>
    <row r="60" spans="1:7" ht="15" customHeight="1" x14ac:dyDescent="0.2">
      <c r="A60" s="65" t="s">
        <v>95</v>
      </c>
      <c r="B60" s="30" t="s">
        <v>96</v>
      </c>
      <c r="C60" s="66">
        <f>+[7]BS17!$D17</f>
        <v>1112</v>
      </c>
      <c r="D60" s="67"/>
      <c r="E60" s="68">
        <f>+[7]BS17A!V295</f>
        <v>4697190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+[7]BS17!$D18</f>
        <v>4585</v>
      </c>
      <c r="D61" s="71"/>
      <c r="E61" s="72">
        <f>SUM(E62:E64)</f>
        <v>10879790</v>
      </c>
      <c r="F61" s="8"/>
    </row>
    <row r="62" spans="1:7" ht="15" customHeight="1" x14ac:dyDescent="0.2">
      <c r="A62" s="73"/>
      <c r="B62" s="42" t="s">
        <v>99</v>
      </c>
      <c r="C62" s="19">
        <f>+[7]BS17!$D19</f>
        <v>3741</v>
      </c>
      <c r="D62" s="74"/>
      <c r="E62" s="75">
        <f>+[7]BS17A!V362</f>
        <v>7854230</v>
      </c>
      <c r="F62" s="8"/>
    </row>
    <row r="63" spans="1:7" ht="15" customHeight="1" x14ac:dyDescent="0.2">
      <c r="A63" s="73"/>
      <c r="B63" s="28" t="s">
        <v>100</v>
      </c>
      <c r="C63" s="24">
        <f>+[7]BS17!$D20</f>
        <v>98</v>
      </c>
      <c r="D63" s="63"/>
      <c r="E63" s="64">
        <f>+[7]BS17A!V405</f>
        <v>222700</v>
      </c>
      <c r="F63" s="8"/>
    </row>
    <row r="64" spans="1:7" ht="15" customHeight="1" x14ac:dyDescent="0.2">
      <c r="A64" s="76"/>
      <c r="B64" s="43" t="s">
        <v>101</v>
      </c>
      <c r="C64" s="31">
        <f>+[7]BS17!$D21</f>
        <v>746</v>
      </c>
      <c r="D64" s="77"/>
      <c r="E64" s="78">
        <f>+[7]BS17A!V428</f>
        <v>2802860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+[7]BS17!$D22</f>
        <v>0</v>
      </c>
      <c r="D65" s="61"/>
      <c r="E65" s="62">
        <f>+[7]BS17A!V446</f>
        <v>0</v>
      </c>
      <c r="F65" s="8"/>
    </row>
    <row r="66" spans="1:7" ht="15" customHeight="1" x14ac:dyDescent="0.2">
      <c r="A66" s="22" t="s">
        <v>104</v>
      </c>
      <c r="B66" s="28" t="s">
        <v>105</v>
      </c>
      <c r="C66" s="24">
        <f>+[7]BS17!$D23</f>
        <v>42</v>
      </c>
      <c r="D66" s="63"/>
      <c r="E66" s="64">
        <f>+[7]BS17A!V456</f>
        <v>71410</v>
      </c>
      <c r="F66" s="8"/>
    </row>
    <row r="67" spans="1:7" ht="15" customHeight="1" x14ac:dyDescent="0.2">
      <c r="A67" s="65" t="s">
        <v>106</v>
      </c>
      <c r="B67" s="30" t="s">
        <v>107</v>
      </c>
      <c r="C67" s="66">
        <f>+[7]BS17!$D24</f>
        <v>2377</v>
      </c>
      <c r="D67" s="67"/>
      <c r="E67" s="68">
        <f>+[7]BS17A!V500</f>
        <v>2643200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+[7]BS17!$D25</f>
        <v>4453</v>
      </c>
      <c r="D68" s="83"/>
      <c r="E68" s="84">
        <f>SUM(E69:E74)</f>
        <v>53988960</v>
      </c>
      <c r="F68" s="8"/>
    </row>
    <row r="69" spans="1:7" ht="15" customHeight="1" x14ac:dyDescent="0.2">
      <c r="A69" s="22" t="s">
        <v>110</v>
      </c>
      <c r="B69" s="28" t="s">
        <v>111</v>
      </c>
      <c r="C69" s="24">
        <f>+[7]BS17!$D26</f>
        <v>3057</v>
      </c>
      <c r="D69" s="63"/>
      <c r="E69" s="64">
        <f>+[7]BS17A!V535</f>
        <v>22116250</v>
      </c>
      <c r="F69" s="8"/>
    </row>
    <row r="70" spans="1:7" ht="15" customHeight="1" x14ac:dyDescent="0.2">
      <c r="A70" s="22" t="s">
        <v>112</v>
      </c>
      <c r="B70" s="28" t="s">
        <v>113</v>
      </c>
      <c r="C70" s="24">
        <f>+[7]BS17!$D27</f>
        <v>3</v>
      </c>
      <c r="D70" s="63"/>
      <c r="E70" s="64">
        <f>+[7]BS17A!V590</f>
        <v>57630</v>
      </c>
      <c r="F70" s="8"/>
    </row>
    <row r="71" spans="1:7" ht="15" customHeight="1" x14ac:dyDescent="0.2">
      <c r="A71" s="22" t="s">
        <v>114</v>
      </c>
      <c r="B71" s="28" t="s">
        <v>115</v>
      </c>
      <c r="C71" s="24">
        <f>+[7]BS17!$D28</f>
        <v>366</v>
      </c>
      <c r="D71" s="63"/>
      <c r="E71" s="64">
        <f>+[7]BS17A!V615</f>
        <v>17335530</v>
      </c>
      <c r="F71" s="8"/>
    </row>
    <row r="72" spans="1:7" ht="15" customHeight="1" x14ac:dyDescent="0.2">
      <c r="A72" s="22" t="s">
        <v>116</v>
      </c>
      <c r="B72" s="28" t="s">
        <v>117</v>
      </c>
      <c r="C72" s="24">
        <f>+[7]BS17!$D30+[7]BS17!$D32</f>
        <v>1027</v>
      </c>
      <c r="D72" s="63"/>
      <c r="E72" s="64">
        <f>+[7]BS17A!V633-[7]BS17A!V634</f>
        <v>14479550</v>
      </c>
      <c r="F72" s="8"/>
    </row>
    <row r="73" spans="1:7" ht="15" customHeight="1" x14ac:dyDescent="0.2">
      <c r="A73" s="85"/>
      <c r="B73" s="28" t="s">
        <v>118</v>
      </c>
      <c r="C73" s="24">
        <f>+[7]BS17!$D31</f>
        <v>0</v>
      </c>
      <c r="D73" s="63"/>
      <c r="E73" s="64">
        <f>+[7]BS17A!V634</f>
        <v>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+[7]BS17!$D33</f>
        <v>0</v>
      </c>
      <c r="D74" s="89"/>
      <c r="E74" s="90">
        <f>+[7]BS17A!V654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+[7]BS17!$D34</f>
        <v>0</v>
      </c>
      <c r="D75" s="94"/>
      <c r="E75" s="95">
        <f>+[7]BS17A!V779</f>
        <v>0</v>
      </c>
      <c r="F75" s="8"/>
    </row>
    <row r="76" spans="1:7" ht="15" customHeight="1" x14ac:dyDescent="0.2">
      <c r="A76" s="96"/>
      <c r="B76" s="97" t="s">
        <v>123</v>
      </c>
      <c r="C76" s="56">
        <f>+C55+C68+C75</f>
        <v>51025</v>
      </c>
      <c r="D76" s="57"/>
      <c r="E76" s="98">
        <f>+E55+E68+E75</f>
        <v>113768330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256" t="s">
        <v>124</v>
      </c>
      <c r="B79" s="252"/>
      <c r="C79" s="252"/>
      <c r="D79" s="252"/>
      <c r="E79" s="253"/>
      <c r="F79" s="51"/>
      <c r="G79" s="52"/>
    </row>
    <row r="80" spans="1:7" ht="38.25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19">
        <f>+[7]BS17!D49</f>
        <v>0</v>
      </c>
      <c r="D81" s="61"/>
      <c r="E81" s="103">
        <f>+SUM([7]BS17A!V670+[7]BS17A!V697+[7]BS17A!V716+[7]BS17A!V723+[7]BS17A!V726+[7]BS17A!V743+[7]BS17A!V760)</f>
        <v>0</v>
      </c>
      <c r="F81" s="8"/>
    </row>
    <row r="82" spans="1:6" ht="15" customHeight="1" x14ac:dyDescent="0.2">
      <c r="A82" s="104">
        <v>2001</v>
      </c>
      <c r="B82" s="28" t="s">
        <v>127</v>
      </c>
      <c r="C82" s="24">
        <f>+[7]BS17!E120</f>
        <v>1292</v>
      </c>
      <c r="D82" s="63"/>
      <c r="E82" s="105">
        <f>+[7]BS17A!V1562</f>
        <v>9832540</v>
      </c>
      <c r="F82" s="8"/>
    </row>
    <row r="83" spans="1:6" ht="15" customHeight="1" x14ac:dyDescent="0.2">
      <c r="A83" s="65" t="s">
        <v>128</v>
      </c>
      <c r="B83" s="30" t="s">
        <v>129</v>
      </c>
      <c r="C83" s="66">
        <f>+[7]BS17A!D1837</f>
        <v>18</v>
      </c>
      <c r="D83" s="67"/>
      <c r="E83" s="106">
        <f>+[7]BS17A!V1837</f>
        <v>1110090</v>
      </c>
      <c r="F83" s="8"/>
    </row>
    <row r="84" spans="1:6" ht="17.25" customHeight="1" x14ac:dyDescent="0.2">
      <c r="A84" s="96"/>
      <c r="B84" s="97" t="s">
        <v>130</v>
      </c>
      <c r="C84" s="56">
        <f>+SUM(C81:C83)</f>
        <v>1310</v>
      </c>
      <c r="D84" s="57"/>
      <c r="E84" s="107">
        <f>SUM(E81:E83)</f>
        <v>10942630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239" t="s">
        <v>131</v>
      </c>
      <c r="B87" s="240"/>
      <c r="C87" s="240"/>
      <c r="D87" s="240"/>
      <c r="E87" s="240"/>
      <c r="F87" s="241"/>
    </row>
    <row r="88" spans="1:6" ht="33.75" customHeight="1" x14ac:dyDescent="0.15">
      <c r="A88" s="260" t="s">
        <v>8</v>
      </c>
      <c r="B88" s="260" t="s">
        <v>9</v>
      </c>
      <c r="C88" s="242" t="s">
        <v>10</v>
      </c>
      <c r="D88" s="243"/>
      <c r="E88" s="243"/>
      <c r="F88" s="244"/>
    </row>
    <row r="89" spans="1:6" ht="35.25" customHeight="1" x14ac:dyDescent="0.15">
      <c r="A89" s="261"/>
      <c r="B89" s="261"/>
      <c r="C89" s="99" t="s">
        <v>132</v>
      </c>
      <c r="D89" s="108" t="s">
        <v>133</v>
      </c>
      <c r="E89" s="13" t="s">
        <v>134</v>
      </c>
      <c r="F89" s="1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+[7]BS17!F66</f>
        <v>0</v>
      </c>
      <c r="D90" s="110">
        <f>+[7]BS17!G66</f>
        <v>0</v>
      </c>
      <c r="E90" s="111">
        <f>+[7]BS17!H66</f>
        <v>0</v>
      </c>
      <c r="F90" s="112">
        <f>[7]BS17A!V807</f>
        <v>0</v>
      </c>
    </row>
    <row r="91" spans="1:6" ht="15" customHeight="1" x14ac:dyDescent="0.2">
      <c r="A91" s="22" t="s">
        <v>137</v>
      </c>
      <c r="B91" s="28" t="s">
        <v>138</v>
      </c>
      <c r="C91" s="113">
        <f>+[7]BS17!F67</f>
        <v>89</v>
      </c>
      <c r="D91" s="114">
        <f>+[7]BS17!G67</f>
        <v>0</v>
      </c>
      <c r="E91" s="115">
        <f>+[7]BS17!H67</f>
        <v>0</v>
      </c>
      <c r="F91" s="116">
        <f>[7]BS17A!V878</f>
        <v>33134320</v>
      </c>
    </row>
    <row r="92" spans="1:6" ht="15" customHeight="1" x14ac:dyDescent="0.2">
      <c r="A92" s="22" t="s">
        <v>139</v>
      </c>
      <c r="B92" s="28" t="s">
        <v>140</v>
      </c>
      <c r="C92" s="113">
        <f>+[7]BS17!F68</f>
        <v>12</v>
      </c>
      <c r="D92" s="114">
        <f>+[7]BS17!G68</f>
        <v>0</v>
      </c>
      <c r="E92" s="115">
        <f>+[7]BS17!H68</f>
        <v>0</v>
      </c>
      <c r="F92" s="116">
        <f>[7]BS17A!V957</f>
        <v>1121290</v>
      </c>
    </row>
    <row r="93" spans="1:6" ht="15" customHeight="1" x14ac:dyDescent="0.2">
      <c r="A93" s="22" t="s">
        <v>141</v>
      </c>
      <c r="B93" s="28" t="s">
        <v>142</v>
      </c>
      <c r="C93" s="113">
        <f>+[7]BS17!F69</f>
        <v>5</v>
      </c>
      <c r="D93" s="114">
        <f>+[7]BS17!G69</f>
        <v>1</v>
      </c>
      <c r="E93" s="115">
        <f>+[7]BS17!H69</f>
        <v>0</v>
      </c>
      <c r="F93" s="116">
        <f>[7]BS17A!V1033</f>
        <v>843205</v>
      </c>
    </row>
    <row r="94" spans="1:6" ht="15" customHeight="1" x14ac:dyDescent="0.2">
      <c r="A94" s="22" t="s">
        <v>143</v>
      </c>
      <c r="B94" s="28" t="s">
        <v>144</v>
      </c>
      <c r="C94" s="113">
        <f>+[7]BS17!F70</f>
        <v>96</v>
      </c>
      <c r="D94" s="114">
        <f>+[7]BS17!G70</f>
        <v>1</v>
      </c>
      <c r="E94" s="115">
        <f>+[7]BS17!H70</f>
        <v>0</v>
      </c>
      <c r="F94" s="116">
        <f>[7]BS17A!V1094</f>
        <v>5153820</v>
      </c>
    </row>
    <row r="95" spans="1:6" ht="15" customHeight="1" x14ac:dyDescent="0.2">
      <c r="A95" s="22" t="s">
        <v>145</v>
      </c>
      <c r="B95" s="28" t="s">
        <v>146</v>
      </c>
      <c r="C95" s="113">
        <f>+[7]BS17!F71</f>
        <v>91</v>
      </c>
      <c r="D95" s="114">
        <f>+[7]BS17!G71</f>
        <v>0</v>
      </c>
      <c r="E95" s="115">
        <f>+[7]BS17!H71</f>
        <v>0</v>
      </c>
      <c r="F95" s="116">
        <f>[7]BS17A!V1162</f>
        <v>2396570</v>
      </c>
    </row>
    <row r="96" spans="1:6" ht="15" customHeight="1" x14ac:dyDescent="0.2">
      <c r="A96" s="22" t="s">
        <v>147</v>
      </c>
      <c r="B96" s="28" t="s">
        <v>148</v>
      </c>
      <c r="C96" s="113">
        <f>+[7]BS17!F72</f>
        <v>1</v>
      </c>
      <c r="D96" s="114">
        <f>+[7]BS17!G72</f>
        <v>0</v>
      </c>
      <c r="E96" s="115">
        <f>+[7]BS17!H72</f>
        <v>0</v>
      </c>
      <c r="F96" s="116">
        <f>[7]BS17A!V1210</f>
        <v>114660</v>
      </c>
    </row>
    <row r="97" spans="1:6" ht="15" customHeight="1" x14ac:dyDescent="0.2">
      <c r="A97" s="22" t="s">
        <v>149</v>
      </c>
      <c r="B97" s="28" t="s">
        <v>150</v>
      </c>
      <c r="C97" s="113">
        <f>+[7]BS17!F73</f>
        <v>2</v>
      </c>
      <c r="D97" s="114">
        <f>+[7]BS17!G73</f>
        <v>0</v>
      </c>
      <c r="E97" s="115">
        <f>+[7]BS17!H73</f>
        <v>0</v>
      </c>
      <c r="F97" s="116">
        <f>[7]BS17A!V1276</f>
        <v>96580</v>
      </c>
    </row>
    <row r="98" spans="1:6" ht="15" customHeight="1" x14ac:dyDescent="0.2">
      <c r="A98" s="22" t="s">
        <v>151</v>
      </c>
      <c r="B98" s="28" t="s">
        <v>152</v>
      </c>
      <c r="C98" s="113">
        <f>+[7]BS17!F74</f>
        <v>177</v>
      </c>
      <c r="D98" s="114">
        <f>+[7]BS17!G74</f>
        <v>17</v>
      </c>
      <c r="E98" s="115">
        <f>+[7]BS17!H74</f>
        <v>0</v>
      </c>
      <c r="F98" s="116">
        <f>[7]BS17A!V1346</f>
        <v>39445275</v>
      </c>
    </row>
    <row r="99" spans="1:6" ht="15" customHeight="1" x14ac:dyDescent="0.2">
      <c r="A99" s="22" t="s">
        <v>153</v>
      </c>
      <c r="B99" s="28" t="s">
        <v>154</v>
      </c>
      <c r="C99" s="113">
        <f>+[7]BS17!F75</f>
        <v>5</v>
      </c>
      <c r="D99" s="114">
        <f>+[7]BS17!G75</f>
        <v>0</v>
      </c>
      <c r="E99" s="115">
        <f>+[7]BS17!H75</f>
        <v>0</v>
      </c>
      <c r="F99" s="116">
        <f>[7]BS17A!V1430</f>
        <v>623910</v>
      </c>
    </row>
    <row r="100" spans="1:6" ht="15" customHeight="1" x14ac:dyDescent="0.2">
      <c r="A100" s="22" t="s">
        <v>155</v>
      </c>
      <c r="B100" s="28" t="s">
        <v>156</v>
      </c>
      <c r="C100" s="113">
        <f>+[7]BS17!F76</f>
        <v>19</v>
      </c>
      <c r="D100" s="114">
        <f>+[7]BS17!G76</f>
        <v>0</v>
      </c>
      <c r="E100" s="115">
        <f>+[7]BS17!H76</f>
        <v>0</v>
      </c>
      <c r="F100" s="116">
        <f>[7]BS17A!V1477</f>
        <v>3290280</v>
      </c>
    </row>
    <row r="101" spans="1:6" ht="15" customHeight="1" x14ac:dyDescent="0.2">
      <c r="A101" s="22" t="s">
        <v>157</v>
      </c>
      <c r="B101" s="28" t="s">
        <v>158</v>
      </c>
      <c r="C101" s="113">
        <f>+[7]BS17!F77</f>
        <v>6</v>
      </c>
      <c r="D101" s="114">
        <f>+[7]BS17!G77</f>
        <v>0</v>
      </c>
      <c r="E101" s="115">
        <f>+[7]BS17!H77</f>
        <v>0</v>
      </c>
      <c r="F101" s="116">
        <f>[7]BS17A!V1580</f>
        <v>1242270</v>
      </c>
    </row>
    <row r="102" spans="1:6" ht="15" customHeight="1" x14ac:dyDescent="0.2">
      <c r="A102" s="65" t="s">
        <v>159</v>
      </c>
      <c r="B102" s="30" t="s">
        <v>160</v>
      </c>
      <c r="C102" s="117">
        <f>+[7]BS17!F78</f>
        <v>37</v>
      </c>
      <c r="D102" s="118">
        <f>+[7]BS17!G78</f>
        <v>4</v>
      </c>
      <c r="E102" s="119">
        <f>+[7]BS17!H78</f>
        <v>0</v>
      </c>
      <c r="F102" s="120">
        <f>[7]BS17A!V1585</f>
        <v>6657675</v>
      </c>
    </row>
    <row r="103" spans="1:6" ht="15" customHeight="1" x14ac:dyDescent="0.2">
      <c r="A103" s="17" t="s">
        <v>161</v>
      </c>
      <c r="B103" s="36" t="s">
        <v>162</v>
      </c>
      <c r="C103" s="109">
        <f>+[7]BS17!F79</f>
        <v>77</v>
      </c>
      <c r="D103" s="110">
        <f>+[7]BS17!G79</f>
        <v>0</v>
      </c>
      <c r="E103" s="111">
        <f>+[7]BS17!H79</f>
        <v>0</v>
      </c>
      <c r="F103" s="112">
        <f>+[7]BS17A!V1619</f>
        <v>8452170</v>
      </c>
    </row>
    <row r="104" spans="1:6" ht="15" customHeight="1" x14ac:dyDescent="0.2">
      <c r="A104" s="22"/>
      <c r="B104" s="28" t="s">
        <v>163</v>
      </c>
      <c r="C104" s="113">
        <f>+[7]BS17A!D1623</f>
        <v>0</v>
      </c>
      <c r="D104" s="114">
        <f>+[7]BS17A!F1623</f>
        <v>0</v>
      </c>
      <c r="E104" s="115">
        <f>+[7]BS17A!G1623</f>
        <v>0</v>
      </c>
      <c r="F104" s="116">
        <f>+[7]BS17A!V1623</f>
        <v>0</v>
      </c>
    </row>
    <row r="105" spans="1:6" ht="15" customHeight="1" x14ac:dyDescent="0.2">
      <c r="A105" s="22"/>
      <c r="B105" s="28" t="s">
        <v>164</v>
      </c>
      <c r="C105" s="113">
        <f>+[7]BS17A!D1622</f>
        <v>54</v>
      </c>
      <c r="D105" s="114">
        <f>+[7]BS17A!F1622</f>
        <v>0</v>
      </c>
      <c r="E105" s="115">
        <f>+[7]BS17A!G1622</f>
        <v>0</v>
      </c>
      <c r="F105" s="116">
        <f>+[7]BS17A!V1622</f>
        <v>6390900</v>
      </c>
    </row>
    <row r="106" spans="1:6" ht="15" customHeight="1" x14ac:dyDescent="0.2">
      <c r="A106" s="29"/>
      <c r="B106" s="39" t="s">
        <v>165</v>
      </c>
      <c r="C106" s="121">
        <f>+[7]BS17A!D1620+[7]BS17A!D1621</f>
        <v>23</v>
      </c>
      <c r="D106" s="122">
        <f>+[7]BS17A!F1620+[7]BS17A!F1621</f>
        <v>0</v>
      </c>
      <c r="E106" s="123">
        <f>+[7]BS17A!G1620+[7]BS17A!G1621</f>
        <v>0</v>
      </c>
      <c r="F106" s="124">
        <f>+[7]BS17A!V1620+[7]BS17A!V1621</f>
        <v>2061270</v>
      </c>
    </row>
    <row r="107" spans="1:6" ht="15" customHeight="1" x14ac:dyDescent="0.2">
      <c r="A107" s="59" t="s">
        <v>166</v>
      </c>
      <c r="B107" s="79" t="s">
        <v>167</v>
      </c>
      <c r="C107" s="125">
        <f>+[7]BS17!F80</f>
        <v>39</v>
      </c>
      <c r="D107" s="126">
        <f>+[7]BS17!G80</f>
        <v>4</v>
      </c>
      <c r="E107" s="127">
        <f>+[7]BS17!H80</f>
        <v>0</v>
      </c>
      <c r="F107" s="128">
        <f>+[7]BS17A!V1627</f>
        <v>7112055</v>
      </c>
    </row>
    <row r="108" spans="1:6" ht="15" customHeight="1" x14ac:dyDescent="0.2">
      <c r="A108" s="129">
        <v>2106</v>
      </c>
      <c r="B108" s="39" t="s">
        <v>168</v>
      </c>
      <c r="C108" s="121">
        <f>[7]BS17A!D1833</f>
        <v>4</v>
      </c>
      <c r="D108" s="122">
        <f>[7]BS17A!F1833</f>
        <v>0</v>
      </c>
      <c r="E108" s="123">
        <f>[7]BS17A!G1833</f>
        <v>0</v>
      </c>
      <c r="F108" s="124">
        <f>+[7]BS17A!V1833</f>
        <v>197960</v>
      </c>
    </row>
    <row r="109" spans="1:6" ht="15" customHeight="1" x14ac:dyDescent="0.2">
      <c r="A109" s="130"/>
      <c r="B109" s="131" t="s">
        <v>169</v>
      </c>
      <c r="C109" s="132">
        <f>SUM(C90:C108)-C103</f>
        <v>660</v>
      </c>
      <c r="D109" s="133">
        <f>SUM(D90:D108)-D103</f>
        <v>27</v>
      </c>
      <c r="E109" s="134">
        <f>+SUM(E90:E103)+E107+E108</f>
        <v>0</v>
      </c>
      <c r="F109" s="135">
        <f>+SUM(F90:F103)+F107+F108</f>
        <v>109882040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256" t="s">
        <v>170</v>
      </c>
      <c r="B112" s="252"/>
      <c r="C112" s="252"/>
      <c r="D112" s="252"/>
      <c r="E112" s="253"/>
      <c r="F112" s="5"/>
    </row>
    <row r="113" spans="1:6" ht="38.25" x14ac:dyDescent="0.2">
      <c r="A113" s="11" t="s">
        <v>8</v>
      </c>
      <c r="B113" s="11" t="s">
        <v>9</v>
      </c>
      <c r="C113" s="12" t="s">
        <v>10</v>
      </c>
      <c r="D113" s="13" t="s">
        <v>11</v>
      </c>
      <c r="E113" s="1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19">
        <f>+[7]BS17A!D1624</f>
        <v>67</v>
      </c>
      <c r="D114" s="136">
        <f>+[7]BS17A!U1624</f>
        <v>118340</v>
      </c>
      <c r="E114" s="137">
        <f>+[7]BS17A!V1624</f>
        <v>7928780</v>
      </c>
      <c r="F114" s="8"/>
    </row>
    <row r="115" spans="1:6" ht="15" customHeight="1" x14ac:dyDescent="0.2">
      <c r="A115" s="29" t="s">
        <v>173</v>
      </c>
      <c r="B115" s="138" t="s">
        <v>174</v>
      </c>
      <c r="C115" s="66">
        <f>+[7]BS17A!D1625</f>
        <v>4</v>
      </c>
      <c r="D115" s="139">
        <f>+[7]BS17A!U1625</f>
        <v>124520</v>
      </c>
      <c r="E115" s="106">
        <f>+[7]BS17A!V1625</f>
        <v>498080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71</v>
      </c>
      <c r="D116" s="57"/>
      <c r="E116" s="107">
        <f>SUM(E114:E115)</f>
        <v>8426860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262" t="s">
        <v>176</v>
      </c>
      <c r="B119" s="262"/>
      <c r="C119" s="262"/>
      <c r="D119" s="8"/>
      <c r="E119" s="8"/>
      <c r="F119" s="5"/>
    </row>
    <row r="120" spans="1:6" ht="28.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+[7]BS17A!V1859+[7]BS17A!V1876+[7]BS17A!V1895</f>
        <v>13264930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256" t="s">
        <v>179</v>
      </c>
      <c r="B124" s="252"/>
      <c r="C124" s="252"/>
      <c r="D124" s="252"/>
      <c r="E124" s="253"/>
      <c r="F124" s="5"/>
    </row>
    <row r="125" spans="1:6" ht="38.25" x14ac:dyDescent="0.2">
      <c r="A125" s="11" t="s">
        <v>8</v>
      </c>
      <c r="B125" s="11" t="s">
        <v>9</v>
      </c>
      <c r="C125" s="12" t="s">
        <v>10</v>
      </c>
      <c r="D125" s="13" t="s">
        <v>11</v>
      </c>
      <c r="E125" s="1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19">
        <f>+[7]BS17A!$D59</f>
        <v>5354</v>
      </c>
      <c r="D126" s="37">
        <f>+[7]BS17A!$U59</f>
        <v>30310</v>
      </c>
      <c r="E126" s="145">
        <f>+[7]BS17A!$V59</f>
        <v>162279740</v>
      </c>
      <c r="F126" s="8"/>
    </row>
    <row r="127" spans="1:6" ht="15" customHeight="1" x14ac:dyDescent="0.2">
      <c r="A127" s="22" t="s">
        <v>182</v>
      </c>
      <c r="B127" s="23" t="s">
        <v>183</v>
      </c>
      <c r="C127" s="24">
        <f>+[7]BS17A!$D60</f>
        <v>0</v>
      </c>
      <c r="D127" s="25">
        <f>+[7]BS17A!$U60</f>
        <v>27900</v>
      </c>
      <c r="E127" s="146">
        <f>+[7]BS17A!$V60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24">
        <f>+[7]BS17A!$D61</f>
        <v>0</v>
      </c>
      <c r="D128" s="25">
        <f>+[7]BS17A!$U61</f>
        <v>23260</v>
      </c>
      <c r="E128" s="146">
        <f>+[7]BS17A!$V61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24">
        <f>SUM([7]BS17A!D62:D64)</f>
        <v>0</v>
      </c>
      <c r="D129" s="25">
        <f>+[7]BS17A!$U62</f>
        <v>126000</v>
      </c>
      <c r="E129" s="146">
        <f>SUM([7]BS17A!V62:V64)</f>
        <v>0</v>
      </c>
      <c r="F129" s="8"/>
    </row>
    <row r="130" spans="1:6" ht="15" customHeight="1" x14ac:dyDescent="0.2">
      <c r="A130" s="22" t="s">
        <v>188</v>
      </c>
      <c r="B130" s="23" t="s">
        <v>189</v>
      </c>
      <c r="C130" s="24">
        <f>SUM([7]BS17A!D65:D67)</f>
        <v>267</v>
      </c>
      <c r="D130" s="25">
        <f>+[7]BS17A!$U65</f>
        <v>60860</v>
      </c>
      <c r="E130" s="146">
        <f>SUM([7]BS17A!V65:V67)</f>
        <v>16249620</v>
      </c>
      <c r="F130" s="8"/>
    </row>
    <row r="131" spans="1:6" ht="15" customHeight="1" x14ac:dyDescent="0.2">
      <c r="A131" s="22" t="s">
        <v>190</v>
      </c>
      <c r="B131" s="23" t="s">
        <v>191</v>
      </c>
      <c r="C131" s="24">
        <f>+[7]BS17A!D68</f>
        <v>175</v>
      </c>
      <c r="D131" s="25">
        <f>+[7]BS17A!$U68</f>
        <v>54600</v>
      </c>
      <c r="E131" s="146">
        <f>+[7]BS17A!$V68</f>
        <v>9555000</v>
      </c>
      <c r="F131" s="8"/>
    </row>
    <row r="132" spans="1:6" ht="15" customHeight="1" x14ac:dyDescent="0.2">
      <c r="A132" s="22" t="s">
        <v>192</v>
      </c>
      <c r="B132" s="23" t="s">
        <v>193</v>
      </c>
      <c r="C132" s="24">
        <f>+[7]BS17A!$D69</f>
        <v>0</v>
      </c>
      <c r="D132" s="25">
        <f>+[7]BS17A!$U69</f>
        <v>15500</v>
      </c>
      <c r="E132" s="146">
        <f>+[7]BS17A!$V69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24">
        <f>+[7]BS17A!$D70</f>
        <v>0</v>
      </c>
      <c r="D133" s="25">
        <f>+[7]BS17A!$U70</f>
        <v>24280</v>
      </c>
      <c r="E133" s="146">
        <f>+[7]BS17A!$V70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24">
        <f>+[7]BS17A!$D73</f>
        <v>0</v>
      </c>
      <c r="D134" s="25">
        <f>+[7]BS17A!$U73</f>
        <v>24470</v>
      </c>
      <c r="E134" s="146">
        <f>+[7]BS17A!$V73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24">
        <f>+[7]BS17A!$D71</f>
        <v>0</v>
      </c>
      <c r="D135" s="25">
        <f>+[7]BS17A!$U71</f>
        <v>25270</v>
      </c>
      <c r="E135" s="146">
        <f>+[7]BS17A!$V71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24">
        <f>+[7]BS17A!$D76</f>
        <v>0</v>
      </c>
      <c r="D136" s="25">
        <f>+[7]BS17A!$U76</f>
        <v>30310</v>
      </c>
      <c r="E136" s="146">
        <f>+[7]BS17A!$V76</f>
        <v>0</v>
      </c>
      <c r="F136" s="8"/>
    </row>
    <row r="137" spans="1:6" ht="15" customHeight="1" x14ac:dyDescent="0.2">
      <c r="A137" s="22" t="s">
        <v>202</v>
      </c>
      <c r="B137" s="28" t="s">
        <v>203</v>
      </c>
      <c r="C137" s="24">
        <f>+[7]BS17A!$D79</f>
        <v>58</v>
      </c>
      <c r="D137" s="25">
        <f>+[7]BS17A!$U79</f>
        <v>5880</v>
      </c>
      <c r="E137" s="146">
        <f>+[7]BS17A!$V79</f>
        <v>341040</v>
      </c>
      <c r="F137" s="8"/>
    </row>
    <row r="138" spans="1:6" ht="15" customHeight="1" x14ac:dyDescent="0.2">
      <c r="A138" s="22" t="s">
        <v>204</v>
      </c>
      <c r="B138" s="28" t="s">
        <v>205</v>
      </c>
      <c r="C138" s="24">
        <f>+[7]BS17A!$D80</f>
        <v>0</v>
      </c>
      <c r="D138" s="25">
        <f>+[7]BS17A!$U80</f>
        <v>42470</v>
      </c>
      <c r="E138" s="146">
        <f>+[7]BS17A!$V80</f>
        <v>0</v>
      </c>
      <c r="F138" s="8"/>
    </row>
    <row r="139" spans="1:6" ht="15" customHeight="1" x14ac:dyDescent="0.2">
      <c r="A139" s="29"/>
      <c r="B139" s="147" t="s">
        <v>206</v>
      </c>
      <c r="C139" s="148">
        <f>SUM(C126:C138)</f>
        <v>5854</v>
      </c>
      <c r="D139" s="149"/>
      <c r="E139" s="150">
        <f>SUM(E126:E138)</f>
        <v>188425400</v>
      </c>
      <c r="F139" s="8"/>
    </row>
    <row r="140" spans="1:6" ht="15" customHeight="1" x14ac:dyDescent="0.2">
      <c r="A140" s="17"/>
      <c r="B140" s="81" t="s">
        <v>207</v>
      </c>
      <c r="C140" s="19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24">
        <f>+[7]BS17A!$D72</f>
        <v>0</v>
      </c>
      <c r="D141" s="25">
        <f>+[7]BS17A!$U72</f>
        <v>10190</v>
      </c>
      <c r="E141" s="146">
        <f>+[7]BS17A!$V72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24">
        <f>+[7]BS17A!$D74</f>
        <v>0</v>
      </c>
      <c r="D142" s="25">
        <f>+[7]BS17A!$U74</f>
        <v>10190</v>
      </c>
      <c r="E142" s="146">
        <f>+[7]BS17A!$V74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24">
        <f>+[7]BS17A!$D75</f>
        <v>8</v>
      </c>
      <c r="D143" s="25">
        <f>+[7]BS17A!$U75</f>
        <v>4490</v>
      </c>
      <c r="E143" s="146">
        <f>+[7]BS17A!$V75</f>
        <v>35920</v>
      </c>
      <c r="F143" s="8"/>
    </row>
    <row r="144" spans="1:6" ht="15" customHeight="1" x14ac:dyDescent="0.2">
      <c r="A144" s="22" t="s">
        <v>214</v>
      </c>
      <c r="B144" s="23" t="s">
        <v>215</v>
      </c>
      <c r="C144" s="24">
        <f>+[7]BS17A!$D77</f>
        <v>0</v>
      </c>
      <c r="D144" s="25">
        <f>+[7]BS17A!$U77</f>
        <v>81940</v>
      </c>
      <c r="E144" s="146">
        <f>+[7]BS17A!$V77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24">
        <f>+[7]BS17A!$D78</f>
        <v>0</v>
      </c>
      <c r="D145" s="25">
        <f>+[7]BS17A!$U78</f>
        <v>9670</v>
      </c>
      <c r="E145" s="146">
        <f>+[7]BS17A!$V78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24">
        <f>+[7]BS17A!$D81</f>
        <v>0</v>
      </c>
      <c r="D146" s="25">
        <f>+[7]BS17A!$U81</f>
        <v>7450</v>
      </c>
      <c r="E146" s="146">
        <f>+[7]BS17A!$V81</f>
        <v>0</v>
      </c>
      <c r="F146" s="8"/>
    </row>
    <row r="147" spans="1:6" ht="15" customHeight="1" x14ac:dyDescent="0.2">
      <c r="A147" s="29"/>
      <c r="B147" s="147" t="s">
        <v>220</v>
      </c>
      <c r="C147" s="148">
        <f>SUM(C141:C146)</f>
        <v>8</v>
      </c>
      <c r="D147" s="149"/>
      <c r="E147" s="150">
        <f>SUM(E141:E146)</f>
        <v>35920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5862</v>
      </c>
      <c r="D148" s="151"/>
      <c r="E148" s="152">
        <f>+E139+E147</f>
        <v>188461320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239" t="s">
        <v>222</v>
      </c>
      <c r="B151" s="240"/>
      <c r="C151" s="240"/>
      <c r="D151" s="240"/>
      <c r="E151" s="241"/>
      <c r="F151" s="5"/>
    </row>
    <row r="152" spans="1:6" ht="36" customHeight="1" x14ac:dyDescent="0.2">
      <c r="A152" s="11" t="s">
        <v>8</v>
      </c>
      <c r="B152" s="11" t="s">
        <v>9</v>
      </c>
      <c r="C152" s="12" t="s">
        <v>10</v>
      </c>
      <c r="D152" s="13" t="s">
        <v>11</v>
      </c>
      <c r="E152" s="1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19">
        <f>+[7]BS17A!D43</f>
        <v>2745</v>
      </c>
      <c r="D153" s="37">
        <f>[7]BS17A!U43</f>
        <v>700</v>
      </c>
      <c r="E153" s="145">
        <f>+[7]BS17A!V43</f>
        <v>1921500</v>
      </c>
      <c r="F153" s="8"/>
    </row>
    <row r="154" spans="1:6" ht="15" customHeight="1" x14ac:dyDescent="0.2">
      <c r="A154" s="29" t="s">
        <v>225</v>
      </c>
      <c r="B154" s="43" t="s">
        <v>226</v>
      </c>
      <c r="C154" s="31">
        <f>+[7]BS17A!D44+[7]BS17A!D45</f>
        <v>0</v>
      </c>
      <c r="D154" s="40">
        <f>[7]BS17A!U44</f>
        <v>100</v>
      </c>
      <c r="E154" s="153">
        <f>+[7]BS17A!V44+[7]BS17A!V45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2745</v>
      </c>
      <c r="D155" s="151"/>
      <c r="E155" s="152">
        <f>SUM(E153:E154)</f>
        <v>1921500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239" t="s">
        <v>228</v>
      </c>
      <c r="B158" s="240"/>
      <c r="C158" s="240"/>
      <c r="D158" s="240"/>
      <c r="E158" s="241"/>
      <c r="F158" s="5"/>
    </row>
    <row r="159" spans="1:6" ht="47.25" customHeight="1" x14ac:dyDescent="0.2">
      <c r="A159" s="11" t="s">
        <v>8</v>
      </c>
      <c r="B159" s="11" t="s">
        <v>9</v>
      </c>
      <c r="C159" s="12" t="s">
        <v>10</v>
      </c>
      <c r="D159" s="13" t="s">
        <v>11</v>
      </c>
      <c r="E159" s="1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+[7]BS17A!$D1470</f>
        <v>0</v>
      </c>
      <c r="D160" s="37">
        <f>+[7]BS17A!$U1470</f>
        <v>38160</v>
      </c>
      <c r="E160" s="145">
        <f>+[7]BS17A!$V1470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+[7]BS17A!$D1471</f>
        <v>0</v>
      </c>
      <c r="D161" s="25">
        <f>+[7]BS17A!$U1471</f>
        <v>24000</v>
      </c>
      <c r="E161" s="146">
        <f>+[7]BS17A!$V1471</f>
        <v>0</v>
      </c>
      <c r="F161" s="8"/>
    </row>
    <row r="162" spans="1:6" ht="15" customHeight="1" x14ac:dyDescent="0.2">
      <c r="A162" s="22" t="s">
        <v>233</v>
      </c>
      <c r="B162" s="28" t="s">
        <v>234</v>
      </c>
      <c r="C162" s="155">
        <f>+[7]BS17A!$D1472</f>
        <v>0</v>
      </c>
      <c r="D162" s="25">
        <f>+[7]BS17A!$U1472</f>
        <v>24000</v>
      </c>
      <c r="E162" s="146">
        <f>+[7]BS17A!$V1472</f>
        <v>0</v>
      </c>
      <c r="F162" s="8"/>
    </row>
    <row r="163" spans="1:6" ht="15" customHeight="1" x14ac:dyDescent="0.2">
      <c r="A163" s="22" t="s">
        <v>235</v>
      </c>
      <c r="B163" s="156" t="s">
        <v>236</v>
      </c>
      <c r="C163" s="155">
        <f>+[7]BS17A!$D1473</f>
        <v>0</v>
      </c>
      <c r="D163" s="25">
        <f>+[7]BS17A!$U1473</f>
        <v>726900</v>
      </c>
      <c r="E163" s="146">
        <f>+[7]BS17A!$V1473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+[7]BS17A!$D1474</f>
        <v>0</v>
      </c>
      <c r="D164" s="25">
        <f>+[7]BS17A!$U1474</f>
        <v>515080</v>
      </c>
      <c r="E164" s="146">
        <f>+[7]BS17A!$V1474</f>
        <v>0</v>
      </c>
      <c r="F164" s="8"/>
    </row>
    <row r="165" spans="1:6" ht="15" customHeight="1" x14ac:dyDescent="0.2">
      <c r="A165" s="65" t="s">
        <v>239</v>
      </c>
      <c r="B165" s="138" t="s">
        <v>240</v>
      </c>
      <c r="C165" s="155">
        <f>+[7]BS17A!$D1475</f>
        <v>0</v>
      </c>
      <c r="D165" s="25">
        <f>+[7]BS17A!$U1475</f>
        <v>43850</v>
      </c>
      <c r="E165" s="146">
        <f>+[7]BS17A!$V1475</f>
        <v>0</v>
      </c>
      <c r="F165" s="8"/>
    </row>
    <row r="166" spans="1:6" ht="15" customHeight="1" x14ac:dyDescent="0.2">
      <c r="A166" s="129">
        <v>1901029</v>
      </c>
      <c r="B166" s="157" t="s">
        <v>241</v>
      </c>
      <c r="C166" s="158">
        <f>+[7]BS17A!$D1476</f>
        <v>0</v>
      </c>
      <c r="D166" s="40">
        <f>+[7]BS17A!$U1476</f>
        <v>591930</v>
      </c>
      <c r="E166" s="153">
        <f>+[7]BS17A!$V1476</f>
        <v>0</v>
      </c>
      <c r="F166" s="8"/>
    </row>
    <row r="167" spans="1:6" ht="15" customHeight="1" x14ac:dyDescent="0.2">
      <c r="A167" s="159"/>
      <c r="B167" s="160" t="s">
        <v>242</v>
      </c>
      <c r="C167" s="161">
        <f>SUM(C160:C166)</f>
        <v>0</v>
      </c>
      <c r="D167" s="162"/>
      <c r="E167" s="163">
        <f>SUM(E160:E166)</f>
        <v>0</v>
      </c>
      <c r="F167" s="8"/>
    </row>
    <row r="168" spans="1:6" ht="12.75" x14ac:dyDescent="0.2">
      <c r="A168" s="8"/>
      <c r="B168" s="8"/>
      <c r="C168" s="8"/>
      <c r="D168" s="8"/>
      <c r="E168" s="8"/>
      <c r="F168" s="8"/>
    </row>
    <row r="169" spans="1:6" ht="18" customHeight="1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256" t="s">
        <v>243</v>
      </c>
      <c r="B170" s="252"/>
      <c r="C170" s="252"/>
      <c r="D170" s="252"/>
      <c r="E170" s="253"/>
      <c r="F170" s="5"/>
    </row>
    <row r="171" spans="1:6" ht="35.25" customHeight="1" x14ac:dyDescent="0.2">
      <c r="A171" s="11" t="s">
        <v>8</v>
      </c>
      <c r="B171" s="11" t="s">
        <v>9</v>
      </c>
      <c r="C171" s="12" t="s">
        <v>10</v>
      </c>
      <c r="D171" s="13" t="s">
        <v>11</v>
      </c>
      <c r="E171" s="14" t="s">
        <v>12</v>
      </c>
      <c r="F171" s="8"/>
    </row>
    <row r="172" spans="1:6" ht="12.75" customHeight="1" x14ac:dyDescent="0.2">
      <c r="A172" s="164">
        <v>1101004</v>
      </c>
      <c r="B172" s="165" t="s">
        <v>244</v>
      </c>
      <c r="C172" s="19">
        <f>+[7]BS17A!$D801</f>
        <v>0</v>
      </c>
      <c r="D172" s="37">
        <f>+[7]BS17A!$U801</f>
        <v>13080</v>
      </c>
      <c r="E172" s="145">
        <f>+[7]BS17A!$V801</f>
        <v>0</v>
      </c>
      <c r="F172" s="8"/>
    </row>
    <row r="173" spans="1:6" ht="12.75" customHeight="1" x14ac:dyDescent="0.2">
      <c r="A173" s="104">
        <v>1101006</v>
      </c>
      <c r="B173" s="166" t="s">
        <v>245</v>
      </c>
      <c r="C173" s="24">
        <f>+[7]BS17A!$D802</f>
        <v>8</v>
      </c>
      <c r="D173" s="25">
        <f>+[7]BS17A!$U802</f>
        <v>10470</v>
      </c>
      <c r="E173" s="146">
        <f>+[7]BS17A!$V802</f>
        <v>83760</v>
      </c>
      <c r="F173" s="8"/>
    </row>
    <row r="174" spans="1:6" ht="24.75" customHeight="1" x14ac:dyDescent="0.2">
      <c r="A174" s="104" t="s">
        <v>246</v>
      </c>
      <c r="B174" s="167" t="s">
        <v>247</v>
      </c>
      <c r="C174" s="24">
        <f>+[7]BS17A!$D1186</f>
        <v>695</v>
      </c>
      <c r="D174" s="25">
        <f>+[7]BS17A!$U1186</f>
        <v>4480</v>
      </c>
      <c r="E174" s="146">
        <f>+[7]BS17A!$V1186</f>
        <v>3113600</v>
      </c>
      <c r="F174" s="8"/>
    </row>
    <row r="175" spans="1:6" ht="24.75" customHeight="1" x14ac:dyDescent="0.2">
      <c r="A175" s="104" t="s">
        <v>248</v>
      </c>
      <c r="B175" s="167" t="s">
        <v>249</v>
      </c>
      <c r="C175" s="24">
        <f>+[7]BS17A!$D1187</f>
        <v>13</v>
      </c>
      <c r="D175" s="25">
        <f>+[7]BS17A!$U1187</f>
        <v>12640</v>
      </c>
      <c r="E175" s="146">
        <f>+[7]BS17A!$V1187</f>
        <v>164320</v>
      </c>
      <c r="F175" s="8"/>
    </row>
    <row r="176" spans="1:6" ht="24.75" customHeight="1" x14ac:dyDescent="0.2">
      <c r="A176" s="104" t="s">
        <v>250</v>
      </c>
      <c r="B176" s="167" t="s">
        <v>251</v>
      </c>
      <c r="C176" s="24">
        <f>+[7]BS17A!$D1188</f>
        <v>14</v>
      </c>
      <c r="D176" s="25">
        <f>+[7]BS17A!$U1188</f>
        <v>21430</v>
      </c>
      <c r="E176" s="146">
        <f>+[7]BS17A!$V1188</f>
        <v>300020</v>
      </c>
      <c r="F176" s="8"/>
    </row>
    <row r="177" spans="1:6" ht="12.75" customHeight="1" x14ac:dyDescent="0.2">
      <c r="A177" s="104" t="s">
        <v>252</v>
      </c>
      <c r="B177" s="167" t="s">
        <v>253</v>
      </c>
      <c r="C177" s="24">
        <f>+[7]BS17A!$D1189</f>
        <v>0</v>
      </c>
      <c r="D177" s="25">
        <f>+[7]BS17A!$U1189</f>
        <v>40910</v>
      </c>
      <c r="E177" s="146">
        <f>+[7]BS17A!$V1189</f>
        <v>0</v>
      </c>
      <c r="F177" s="8"/>
    </row>
    <row r="178" spans="1:6" ht="12.75" customHeight="1" x14ac:dyDescent="0.2">
      <c r="A178" s="104" t="s">
        <v>254</v>
      </c>
      <c r="B178" s="167" t="s">
        <v>255</v>
      </c>
      <c r="C178" s="24">
        <f>+[7]BS17A!$D1190</f>
        <v>53</v>
      </c>
      <c r="D178" s="25">
        <f>+[7]BS17A!$U1190</f>
        <v>45600</v>
      </c>
      <c r="E178" s="146">
        <f>+[7]BS17A!$V1190</f>
        <v>2416800</v>
      </c>
      <c r="F178" s="8"/>
    </row>
    <row r="179" spans="1:6" ht="24.75" customHeight="1" x14ac:dyDescent="0.2">
      <c r="A179" s="104" t="s">
        <v>256</v>
      </c>
      <c r="B179" s="167" t="s">
        <v>257</v>
      </c>
      <c r="C179" s="24">
        <f>+[7]BS17A!$D1191</f>
        <v>0</v>
      </c>
      <c r="D179" s="25">
        <f>+[7]BS17A!$U1191</f>
        <v>25580</v>
      </c>
      <c r="E179" s="146">
        <f>+[7]BS17A!$V1191</f>
        <v>0</v>
      </c>
      <c r="F179" s="8"/>
    </row>
    <row r="180" spans="1:6" ht="12.75" customHeight="1" x14ac:dyDescent="0.2">
      <c r="A180" s="104" t="s">
        <v>258</v>
      </c>
      <c r="B180" s="156" t="s">
        <v>259</v>
      </c>
      <c r="C180" s="24">
        <f>+[7]BS17A!$D1192</f>
        <v>0</v>
      </c>
      <c r="D180" s="25">
        <f>+[7]BS17A!$U1192</f>
        <v>197910</v>
      </c>
      <c r="E180" s="146">
        <f>+[7]BS17A!$V1192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24">
        <f>+[7]BS17A!$D1193</f>
        <v>0</v>
      </c>
      <c r="D181" s="25">
        <f>+[7]BS17A!$U1193</f>
        <v>224990</v>
      </c>
      <c r="E181" s="146">
        <f>+[7]BS17A!$V1193</f>
        <v>0</v>
      </c>
      <c r="F181" s="8"/>
    </row>
    <row r="182" spans="1:6" ht="12.75" customHeight="1" x14ac:dyDescent="0.2">
      <c r="A182" s="104" t="s">
        <v>262</v>
      </c>
      <c r="B182" s="167" t="s">
        <v>263</v>
      </c>
      <c r="C182" s="24">
        <f>+[7]BS17A!$D1194</f>
        <v>0</v>
      </c>
      <c r="D182" s="25">
        <f>+[7]BS17A!$U1194</f>
        <v>183470</v>
      </c>
      <c r="E182" s="146">
        <f>+[7]BS17A!$V1194</f>
        <v>0</v>
      </c>
      <c r="F182" s="8"/>
    </row>
    <row r="183" spans="1:6" ht="24.75" customHeight="1" x14ac:dyDescent="0.2">
      <c r="A183" s="104" t="s">
        <v>264</v>
      </c>
      <c r="B183" s="156" t="s">
        <v>265</v>
      </c>
      <c r="C183" s="24">
        <f>+[7]BS17A!$D1195</f>
        <v>0</v>
      </c>
      <c r="D183" s="25">
        <f>+[7]BS17A!$U1195</f>
        <v>235660</v>
      </c>
      <c r="E183" s="146">
        <f>+[7]BS17A!$V1195</f>
        <v>0</v>
      </c>
      <c r="F183" s="8"/>
    </row>
    <row r="184" spans="1:6" ht="24.75" customHeight="1" x14ac:dyDescent="0.2">
      <c r="A184" s="104" t="s">
        <v>266</v>
      </c>
      <c r="B184" s="156" t="s">
        <v>267</v>
      </c>
      <c r="C184" s="24">
        <f>+[7]BS17A!$D1196</f>
        <v>0</v>
      </c>
      <c r="D184" s="25">
        <f>+[7]BS17A!$U1196</f>
        <v>241140</v>
      </c>
      <c r="E184" s="146">
        <f>+[7]BS17A!$V1196</f>
        <v>0</v>
      </c>
      <c r="F184" s="8"/>
    </row>
    <row r="185" spans="1:6" ht="24.75" customHeight="1" x14ac:dyDescent="0.2">
      <c r="A185" s="104" t="s">
        <v>268</v>
      </c>
      <c r="B185" s="156" t="s">
        <v>269</v>
      </c>
      <c r="C185" s="24">
        <f>+[7]BS17A!$D1197</f>
        <v>0</v>
      </c>
      <c r="D185" s="25">
        <f>+[7]BS17A!$U1197</f>
        <v>203920</v>
      </c>
      <c r="E185" s="146">
        <f>+[7]BS17A!$V1197</f>
        <v>0</v>
      </c>
      <c r="F185" s="8"/>
    </row>
    <row r="186" spans="1:6" ht="12.75" customHeight="1" x14ac:dyDescent="0.2">
      <c r="A186" s="104" t="s">
        <v>270</v>
      </c>
      <c r="B186" s="156" t="s">
        <v>271</v>
      </c>
      <c r="C186" s="24">
        <f>+[7]BS17A!$D1198</f>
        <v>0</v>
      </c>
      <c r="D186" s="25">
        <f>+[7]BS17A!$U1198</f>
        <v>217670</v>
      </c>
      <c r="E186" s="146">
        <f>+[7]BS17A!$V1198</f>
        <v>0</v>
      </c>
      <c r="F186" s="8"/>
    </row>
    <row r="187" spans="1:6" ht="12.75" customHeight="1" x14ac:dyDescent="0.2">
      <c r="A187" s="104" t="s">
        <v>272</v>
      </c>
      <c r="B187" s="156" t="s">
        <v>273</v>
      </c>
      <c r="C187" s="24">
        <f>+[7]BS17A!$D1199</f>
        <v>0</v>
      </c>
      <c r="D187" s="25">
        <f>+[7]BS17A!$U1199</f>
        <v>260270</v>
      </c>
      <c r="E187" s="146">
        <f>+[7]BS17A!$V1199</f>
        <v>0</v>
      </c>
      <c r="F187" s="8"/>
    </row>
    <row r="188" spans="1:6" ht="24.75" customHeight="1" x14ac:dyDescent="0.2">
      <c r="A188" s="104" t="s">
        <v>274</v>
      </c>
      <c r="B188" s="167" t="s">
        <v>275</v>
      </c>
      <c r="C188" s="24">
        <f>+[7]BS17A!$D1200</f>
        <v>0</v>
      </c>
      <c r="D188" s="25">
        <f>+[7]BS17A!$U1200</f>
        <v>230810</v>
      </c>
      <c r="E188" s="146">
        <f>+[7]BS17A!$V1200</f>
        <v>0</v>
      </c>
      <c r="F188" s="8"/>
    </row>
    <row r="189" spans="1:6" ht="24.75" customHeight="1" x14ac:dyDescent="0.2">
      <c r="A189" s="104" t="s">
        <v>276</v>
      </c>
      <c r="B189" s="156" t="s">
        <v>277</v>
      </c>
      <c r="C189" s="24">
        <f>+[7]BS17A!$D1201</f>
        <v>0</v>
      </c>
      <c r="D189" s="25">
        <f>+[7]BS17A!$U1201</f>
        <v>1689070</v>
      </c>
      <c r="E189" s="146">
        <f>+[7]BS17A!$V1201</f>
        <v>0</v>
      </c>
      <c r="F189" s="8"/>
    </row>
    <row r="190" spans="1:6" ht="12.75" customHeight="1" x14ac:dyDescent="0.2">
      <c r="A190" s="104" t="s">
        <v>278</v>
      </c>
      <c r="B190" s="156" t="s">
        <v>279</v>
      </c>
      <c r="C190" s="24">
        <f>+[7]BS17A!$D1202</f>
        <v>0</v>
      </c>
      <c r="D190" s="25">
        <f>+[7]BS17A!$U1202</f>
        <v>1054990</v>
      </c>
      <c r="E190" s="146">
        <f>+[7]BS17A!$V1202</f>
        <v>0</v>
      </c>
      <c r="F190" s="8"/>
    </row>
    <row r="191" spans="1:6" ht="12.75" customHeight="1" x14ac:dyDescent="0.2">
      <c r="A191" s="22" t="s">
        <v>280</v>
      </c>
      <c r="B191" s="156" t="s">
        <v>281</v>
      </c>
      <c r="C191" s="24">
        <f>+[7]BS17A!$D1203</f>
        <v>0</v>
      </c>
      <c r="D191" s="25">
        <f>+[7]BS17A!$U1203</f>
        <v>1021110</v>
      </c>
      <c r="E191" s="146">
        <f>+[7]BS17A!$V1203</f>
        <v>0</v>
      </c>
      <c r="F191" s="8"/>
    </row>
    <row r="192" spans="1:6" ht="24.75" customHeight="1" x14ac:dyDescent="0.2">
      <c r="A192" s="104" t="s">
        <v>282</v>
      </c>
      <c r="B192" s="156" t="s">
        <v>283</v>
      </c>
      <c r="C192" s="24">
        <f>+[7]BS17A!$D1204</f>
        <v>0</v>
      </c>
      <c r="D192" s="25">
        <f>+[7]BS17A!$U1204</f>
        <v>1069740</v>
      </c>
      <c r="E192" s="146">
        <f>+[7]BS17A!$V1204</f>
        <v>0</v>
      </c>
      <c r="F192" s="8"/>
    </row>
    <row r="193" spans="1:6" ht="12.75" customHeight="1" x14ac:dyDescent="0.2">
      <c r="A193" s="22" t="s">
        <v>284</v>
      </c>
      <c r="B193" s="156" t="s">
        <v>285</v>
      </c>
      <c r="C193" s="24">
        <f>+[7]BS17A!$D1205</f>
        <v>0</v>
      </c>
      <c r="D193" s="25">
        <f>+[7]BS17A!$U1205</f>
        <v>151380</v>
      </c>
      <c r="E193" s="146">
        <f>+[7]BS17A!$V1205</f>
        <v>0</v>
      </c>
      <c r="F193" s="8"/>
    </row>
    <row r="194" spans="1:6" ht="12.75" customHeight="1" x14ac:dyDescent="0.2">
      <c r="A194" s="22" t="s">
        <v>286</v>
      </c>
      <c r="B194" s="156" t="s">
        <v>287</v>
      </c>
      <c r="C194" s="24">
        <f>+[7]BS17A!$D1206</f>
        <v>0</v>
      </c>
      <c r="D194" s="25">
        <f>+[7]BS17A!$U1206</f>
        <v>345440</v>
      </c>
      <c r="E194" s="146">
        <f>+[7]BS17A!$V1206</f>
        <v>0</v>
      </c>
      <c r="F194" s="8"/>
    </row>
    <row r="195" spans="1:6" ht="12.75" customHeight="1" x14ac:dyDescent="0.2">
      <c r="A195" s="104" t="s">
        <v>288</v>
      </c>
      <c r="B195" s="156" t="s">
        <v>289</v>
      </c>
      <c r="C195" s="24">
        <f>+[7]BS17A!$D1207</f>
        <v>0</v>
      </c>
      <c r="D195" s="25">
        <f>+[7]BS17A!$U1207</f>
        <v>128060</v>
      </c>
      <c r="E195" s="146">
        <f>+[7]BS17A!$V1207</f>
        <v>0</v>
      </c>
      <c r="F195" s="8"/>
    </row>
    <row r="196" spans="1:6" ht="12.75" customHeight="1" x14ac:dyDescent="0.2">
      <c r="A196" s="104" t="s">
        <v>290</v>
      </c>
      <c r="B196" s="156" t="s">
        <v>291</v>
      </c>
      <c r="C196" s="24">
        <f>+[7]BS17A!$D1208</f>
        <v>0</v>
      </c>
      <c r="D196" s="25">
        <f>+[7]BS17A!$U1208</f>
        <v>1037610</v>
      </c>
      <c r="E196" s="146">
        <f>+[7]BS17A!$V1208</f>
        <v>0</v>
      </c>
      <c r="F196" s="8"/>
    </row>
    <row r="197" spans="1:6" ht="12.75" customHeight="1" x14ac:dyDescent="0.2">
      <c r="A197" s="104" t="s">
        <v>292</v>
      </c>
      <c r="B197" s="156" t="s">
        <v>293</v>
      </c>
      <c r="C197" s="24">
        <f>+[7]BS17A!$D1209</f>
        <v>0</v>
      </c>
      <c r="D197" s="25">
        <f>+[7]BS17A!$U1209</f>
        <v>1037610</v>
      </c>
      <c r="E197" s="146">
        <f>+[7]BS17A!$V1209</f>
        <v>0</v>
      </c>
      <c r="F197" s="8"/>
    </row>
    <row r="198" spans="1:6" ht="12.75" customHeight="1" x14ac:dyDescent="0.2">
      <c r="A198" s="104">
        <v>1801001</v>
      </c>
      <c r="B198" s="166" t="s">
        <v>294</v>
      </c>
      <c r="C198" s="24">
        <f>+[7]BS17A!$D1343</f>
        <v>34</v>
      </c>
      <c r="D198" s="25">
        <f>+[7]BS17A!$U1343</f>
        <v>30950</v>
      </c>
      <c r="E198" s="146">
        <f>+[7]BS17A!$V1343</f>
        <v>1052300</v>
      </c>
      <c r="F198" s="8"/>
    </row>
    <row r="199" spans="1:6" ht="12.75" customHeight="1" x14ac:dyDescent="0.2">
      <c r="A199" s="104">
        <v>1801003</v>
      </c>
      <c r="B199" s="156" t="s">
        <v>295</v>
      </c>
      <c r="C199" s="24">
        <f>+[7]BS17A!$D1344</f>
        <v>0</v>
      </c>
      <c r="D199" s="25">
        <f>+[7]BS17A!$U1344</f>
        <v>37330</v>
      </c>
      <c r="E199" s="146">
        <f>+[7]BS17A!$V1344</f>
        <v>0</v>
      </c>
      <c r="F199" s="8"/>
    </row>
    <row r="200" spans="1:6" ht="12.75" customHeight="1" x14ac:dyDescent="0.2">
      <c r="A200" s="104">
        <v>1801006</v>
      </c>
      <c r="B200" s="166" t="s">
        <v>296</v>
      </c>
      <c r="C200" s="24">
        <f>+[7]BS17A!$D1345</f>
        <v>8</v>
      </c>
      <c r="D200" s="25">
        <f>+[7]BS17A!$U1345</f>
        <v>39760</v>
      </c>
      <c r="E200" s="146">
        <f>+[7]BS17A!$V1345</f>
        <v>318080</v>
      </c>
      <c r="F200" s="8"/>
    </row>
    <row r="201" spans="1:6" ht="24.75" customHeight="1" x14ac:dyDescent="0.2">
      <c r="A201" s="104" t="s">
        <v>297</v>
      </c>
      <c r="B201" s="166" t="s">
        <v>298</v>
      </c>
      <c r="C201" s="24">
        <f>[7]BS17A!D1032</f>
        <v>0</v>
      </c>
      <c r="D201" s="25">
        <f>[7]BS17A!U1032</f>
        <v>8370</v>
      </c>
      <c r="E201" s="146">
        <f>[7]BS17A!V1032</f>
        <v>0</v>
      </c>
      <c r="F201" s="8"/>
    </row>
    <row r="202" spans="1:6" ht="24.75" customHeight="1" x14ac:dyDescent="0.2">
      <c r="A202" s="168" t="s">
        <v>299</v>
      </c>
      <c r="B202" s="169" t="s">
        <v>300</v>
      </c>
      <c r="C202" s="88">
        <f>[7]BS17A!D803</f>
        <v>0</v>
      </c>
      <c r="D202" s="170">
        <f>[7]BS17A!U803</f>
        <v>355150</v>
      </c>
      <c r="E202" s="171">
        <f>[7]BS17A!V803</f>
        <v>0</v>
      </c>
      <c r="F202" s="8"/>
    </row>
    <row r="203" spans="1:6" ht="17.25" customHeight="1" x14ac:dyDescent="0.2">
      <c r="A203" s="130"/>
      <c r="B203" s="131" t="s">
        <v>301</v>
      </c>
      <c r="C203" s="44">
        <f>SUM(C172:C202)</f>
        <v>825</v>
      </c>
      <c r="D203" s="151"/>
      <c r="E203" s="152">
        <f>SUM(E172:E202)</f>
        <v>7448880</v>
      </c>
      <c r="F203" s="8"/>
    </row>
    <row r="204" spans="1:6" ht="21.75" customHeight="1" x14ac:dyDescent="0.2">
      <c r="A204" s="8"/>
      <c r="B204" s="8"/>
      <c r="C204" s="8"/>
      <c r="D204" s="8"/>
      <c r="E204" s="8"/>
      <c r="F204" s="8"/>
    </row>
    <row r="205" spans="1:6" ht="19.5" customHeight="1" x14ac:dyDescent="0.2">
      <c r="A205" s="8"/>
      <c r="B205" s="8"/>
      <c r="C205" s="8"/>
      <c r="D205" s="8"/>
      <c r="E205" s="8"/>
      <c r="F205" s="8"/>
    </row>
    <row r="206" spans="1:6" ht="18" customHeight="1" x14ac:dyDescent="0.2">
      <c r="A206" s="256" t="s">
        <v>302</v>
      </c>
      <c r="B206" s="252"/>
      <c r="C206" s="252"/>
      <c r="D206" s="252"/>
      <c r="E206" s="253"/>
      <c r="F206" s="5"/>
    </row>
    <row r="207" spans="1:6" ht="39.75" customHeight="1" x14ac:dyDescent="0.2">
      <c r="A207" s="11" t="s">
        <v>8</v>
      </c>
      <c r="B207" s="11" t="s">
        <v>9</v>
      </c>
      <c r="C207" s="12" t="s">
        <v>10</v>
      </c>
      <c r="D207" s="13" t="s">
        <v>11</v>
      </c>
      <c r="E207" s="14" t="s">
        <v>12</v>
      </c>
      <c r="F207" s="5"/>
    </row>
    <row r="208" spans="1:6" ht="12.75" customHeight="1" x14ac:dyDescent="0.2">
      <c r="A208" s="17" t="s">
        <v>303</v>
      </c>
      <c r="B208" s="42" t="s">
        <v>304</v>
      </c>
      <c r="C208" s="19">
        <f>+[7]BS17A!$D18</f>
        <v>0</v>
      </c>
      <c r="D208" s="37">
        <f>+[7]BS17A!$U18</f>
        <v>12950</v>
      </c>
      <c r="E208" s="145">
        <f>+[7]BS17A!$V18</f>
        <v>0</v>
      </c>
      <c r="F208" s="8"/>
    </row>
    <row r="209" spans="1:6" ht="12.75" customHeight="1" x14ac:dyDescent="0.2">
      <c r="A209" s="22" t="s">
        <v>305</v>
      </c>
      <c r="B209" s="23" t="s">
        <v>306</v>
      </c>
      <c r="C209" s="24">
        <f>+[7]BS17A!$D19</f>
        <v>73</v>
      </c>
      <c r="D209" s="25">
        <f>+[7]BS17A!$U19</f>
        <v>12950</v>
      </c>
      <c r="E209" s="146">
        <f>+[7]BS17A!$V19</f>
        <v>945350</v>
      </c>
      <c r="F209" s="8"/>
    </row>
    <row r="210" spans="1:6" ht="12.75" customHeight="1" x14ac:dyDescent="0.2">
      <c r="A210" s="22" t="s">
        <v>307</v>
      </c>
      <c r="B210" s="28" t="s">
        <v>308</v>
      </c>
      <c r="C210" s="24">
        <f>+[7]BS17A!$D47</f>
        <v>0</v>
      </c>
      <c r="D210" s="25">
        <f>+[7]BS17A!$U47</f>
        <v>1240</v>
      </c>
      <c r="E210" s="146">
        <f>+[7]BS17A!$V47</f>
        <v>0</v>
      </c>
      <c r="F210" s="8"/>
    </row>
    <row r="211" spans="1:6" ht="12.75" customHeight="1" x14ac:dyDescent="0.2">
      <c r="A211" s="22" t="s">
        <v>309</v>
      </c>
      <c r="B211" s="28" t="s">
        <v>310</v>
      </c>
      <c r="C211" s="24">
        <f>+[7]BS17A!$D48</f>
        <v>485</v>
      </c>
      <c r="D211" s="25">
        <f>+[7]BS17A!$U48</f>
        <v>600</v>
      </c>
      <c r="E211" s="146">
        <f>+[7]BS17A!$V48</f>
        <v>291000</v>
      </c>
      <c r="F211" s="8"/>
    </row>
    <row r="212" spans="1:6" ht="12.75" customHeight="1" x14ac:dyDescent="0.2">
      <c r="A212" s="22" t="s">
        <v>311</v>
      </c>
      <c r="B212" s="23" t="s">
        <v>312</v>
      </c>
      <c r="C212" s="24">
        <f>+[7]BS17A!$D49</f>
        <v>740</v>
      </c>
      <c r="D212" s="25">
        <f>+[7]BS17A!$U49</f>
        <v>1840</v>
      </c>
      <c r="E212" s="146">
        <f>+[7]BS17A!$V49</f>
        <v>1361600</v>
      </c>
      <c r="F212" s="8"/>
    </row>
    <row r="213" spans="1:6" ht="12.75" customHeight="1" x14ac:dyDescent="0.2">
      <c r="A213" s="22" t="s">
        <v>313</v>
      </c>
      <c r="B213" s="23" t="s">
        <v>314</v>
      </c>
      <c r="C213" s="24">
        <f>+[7]BS17A!$D50</f>
        <v>42</v>
      </c>
      <c r="D213" s="25">
        <f>+[7]BS17A!$U50</f>
        <v>13790</v>
      </c>
      <c r="E213" s="146">
        <f>+[7]BS17A!$V50</f>
        <v>579180</v>
      </c>
      <c r="F213" s="8"/>
    </row>
    <row r="214" spans="1:6" ht="12.75" customHeight="1" x14ac:dyDescent="0.2">
      <c r="A214" s="22" t="s">
        <v>315</v>
      </c>
      <c r="B214" s="28" t="s">
        <v>316</v>
      </c>
      <c r="C214" s="24">
        <f>+[7]BS17A!$D51</f>
        <v>59</v>
      </c>
      <c r="D214" s="25">
        <f>+[7]BS17A!$U51</f>
        <v>31670</v>
      </c>
      <c r="E214" s="146">
        <f>+[7]BS17A!$V51</f>
        <v>1868530</v>
      </c>
      <c r="F214" s="8"/>
    </row>
    <row r="215" spans="1:6" ht="12.75" customHeight="1" x14ac:dyDescent="0.2">
      <c r="A215" s="104" t="s">
        <v>317</v>
      </c>
      <c r="B215" s="28" t="s">
        <v>318</v>
      </c>
      <c r="C215" s="24">
        <f>+[7]BS17A!D52</f>
        <v>18</v>
      </c>
      <c r="D215" s="172"/>
      <c r="E215" s="146">
        <f>+[7]BS17A!V52</f>
        <v>142200</v>
      </c>
      <c r="F215" s="8"/>
    </row>
    <row r="216" spans="1:6" ht="12.75" customHeight="1" x14ac:dyDescent="0.2">
      <c r="A216" s="29" t="s">
        <v>319</v>
      </c>
      <c r="B216" s="43" t="s">
        <v>320</v>
      </c>
      <c r="C216" s="31">
        <f>+[7]BS17A!$D1849</f>
        <v>34</v>
      </c>
      <c r="D216" s="40">
        <f>+[7]BS17A!$U1849</f>
        <v>25670</v>
      </c>
      <c r="E216" s="153">
        <f>+[7]BS17A!$V1849</f>
        <v>872780</v>
      </c>
      <c r="F216" s="8"/>
    </row>
    <row r="217" spans="1:6" ht="12.75" x14ac:dyDescent="0.2">
      <c r="A217" s="130"/>
      <c r="B217" s="131" t="s">
        <v>321</v>
      </c>
      <c r="C217" s="44">
        <f>SUM(C208:C216)</f>
        <v>1451</v>
      </c>
      <c r="D217" s="151"/>
      <c r="E217" s="171">
        <f>SUM(E208:E216)</f>
        <v>6060640</v>
      </c>
      <c r="F217" s="8"/>
    </row>
    <row r="218" spans="1:6" ht="17.25" customHeight="1" x14ac:dyDescent="0.2">
      <c r="A218" s="8"/>
      <c r="B218" s="8"/>
      <c r="C218" s="8"/>
      <c r="D218" s="8"/>
      <c r="E218" s="8"/>
      <c r="F218" s="8"/>
    </row>
    <row r="219" spans="1:6" ht="18" customHeight="1" x14ac:dyDescent="0.2">
      <c r="A219" s="8"/>
      <c r="B219" s="8"/>
      <c r="C219" s="8"/>
      <c r="D219" s="8"/>
      <c r="E219" s="8"/>
      <c r="F219" s="8"/>
    </row>
    <row r="220" spans="1:6" ht="27.75" customHeight="1" x14ac:dyDescent="0.2">
      <c r="A220" s="257" t="s">
        <v>322</v>
      </c>
      <c r="B220" s="258"/>
      <c r="C220" s="259"/>
      <c r="D220" s="8"/>
      <c r="E220" s="8"/>
      <c r="F220" s="5"/>
    </row>
    <row r="221" spans="1:6" ht="36.75" customHeight="1" x14ac:dyDescent="0.2">
      <c r="A221" s="11" t="s">
        <v>8</v>
      </c>
      <c r="B221" s="11" t="s">
        <v>10</v>
      </c>
      <c r="C221" s="11" t="s">
        <v>12</v>
      </c>
      <c r="D221" s="5"/>
      <c r="E221" s="8"/>
      <c r="F221" s="8"/>
    </row>
    <row r="222" spans="1:6" ht="15" customHeight="1" x14ac:dyDescent="0.2">
      <c r="A222" s="17" t="s">
        <v>323</v>
      </c>
      <c r="B222" s="173" t="s">
        <v>324</v>
      </c>
      <c r="C222" s="174"/>
      <c r="D222" s="175"/>
      <c r="E222" s="8"/>
      <c r="F222" s="8"/>
    </row>
    <row r="223" spans="1:6" ht="15" customHeight="1" x14ac:dyDescent="0.2">
      <c r="A223" s="176" t="s">
        <v>325</v>
      </c>
      <c r="B223" s="177" t="s">
        <v>326</v>
      </c>
      <c r="C223" s="178"/>
      <c r="D223" s="175"/>
      <c r="E223" s="8"/>
      <c r="F223" s="8"/>
    </row>
    <row r="224" spans="1:6" ht="18" customHeight="1" x14ac:dyDescent="0.2">
      <c r="A224" s="179"/>
      <c r="B224" s="180" t="s">
        <v>327</v>
      </c>
      <c r="C224" s="181">
        <f>SUM(C222:C223)</f>
        <v>0</v>
      </c>
      <c r="D224" s="175"/>
      <c r="E224" s="8"/>
      <c r="F224" s="8"/>
    </row>
    <row r="225" spans="1:7" ht="18" customHeight="1" x14ac:dyDescent="0.2">
      <c r="A225" s="8"/>
      <c r="B225" s="8"/>
      <c r="C225" s="8"/>
      <c r="D225" s="175"/>
      <c r="E225" s="175"/>
      <c r="F225" s="175"/>
    </row>
    <row r="226" spans="1:7" ht="18" customHeight="1" x14ac:dyDescent="0.2">
      <c r="A226" s="8"/>
      <c r="B226" s="8"/>
      <c r="C226" s="8"/>
      <c r="D226" s="8"/>
      <c r="E226" s="8"/>
      <c r="F226" s="175"/>
      <c r="G226" s="182"/>
    </row>
    <row r="227" spans="1:7" ht="18" customHeight="1" x14ac:dyDescent="0.2">
      <c r="A227" s="256" t="s">
        <v>328</v>
      </c>
      <c r="B227" s="252"/>
      <c r="C227" s="252"/>
      <c r="D227" s="252"/>
      <c r="E227" s="253"/>
      <c r="F227" s="175"/>
      <c r="G227" s="182"/>
    </row>
    <row r="228" spans="1:7" ht="64.5" customHeight="1" x14ac:dyDescent="0.2">
      <c r="A228" s="11" t="s">
        <v>8</v>
      </c>
      <c r="B228" s="11" t="s">
        <v>9</v>
      </c>
      <c r="C228" s="12" t="s">
        <v>10</v>
      </c>
      <c r="D228" s="13" t="s">
        <v>11</v>
      </c>
      <c r="E228" s="14" t="s">
        <v>12</v>
      </c>
      <c r="F228" s="175"/>
      <c r="G228" s="182"/>
    </row>
    <row r="229" spans="1:7" ht="15" customHeight="1" x14ac:dyDescent="0.2">
      <c r="A229" s="17" t="s">
        <v>329</v>
      </c>
      <c r="B229" s="42" t="s">
        <v>330</v>
      </c>
      <c r="C229" s="154">
        <f>+[7]BS17A!$D1920</f>
        <v>198</v>
      </c>
      <c r="D229" s="37">
        <f>+[7]BS17A!$U1920</f>
        <v>17720</v>
      </c>
      <c r="E229" s="145">
        <f>+[7]BS17A!$V1920</f>
        <v>3508560</v>
      </c>
      <c r="F229" s="8"/>
    </row>
    <row r="230" spans="1:7" ht="15" customHeight="1" x14ac:dyDescent="0.2">
      <c r="A230" s="29" t="s">
        <v>331</v>
      </c>
      <c r="B230" s="43" t="s">
        <v>332</v>
      </c>
      <c r="C230" s="158">
        <f>+[7]BS17A!$D1921</f>
        <v>0</v>
      </c>
      <c r="D230" s="40">
        <f>+[7]BS17A!$U1921</f>
        <v>222170</v>
      </c>
      <c r="E230" s="153">
        <f>+[7]BS17A!$V1921</f>
        <v>0</v>
      </c>
      <c r="F230" s="8"/>
    </row>
    <row r="231" spans="1:7" ht="18" customHeight="1" x14ac:dyDescent="0.2">
      <c r="A231" s="130"/>
      <c r="B231" s="131" t="s">
        <v>333</v>
      </c>
      <c r="C231" s="44">
        <f>SUM(C229:C230)</f>
        <v>198</v>
      </c>
      <c r="D231" s="151"/>
      <c r="E231" s="152">
        <f>SUM(E229:E230)</f>
        <v>3508560</v>
      </c>
      <c r="F231" s="8"/>
    </row>
    <row r="232" spans="1:7" ht="18" customHeight="1" x14ac:dyDescent="0.2">
      <c r="A232" s="183"/>
      <c r="B232" s="184"/>
      <c r="C232" s="185"/>
      <c r="D232" s="183"/>
      <c r="E232" s="183"/>
      <c r="F232" s="8"/>
    </row>
    <row r="233" spans="1:7" ht="18" customHeight="1" x14ac:dyDescent="0.2">
      <c r="A233" s="183"/>
      <c r="B233" s="184"/>
      <c r="C233" s="185"/>
      <c r="D233" s="183"/>
      <c r="E233" s="183"/>
      <c r="F233" s="8"/>
    </row>
    <row r="234" spans="1:7" ht="18" customHeight="1" x14ac:dyDescent="0.2">
      <c r="A234" s="251" t="s">
        <v>334</v>
      </c>
      <c r="B234" s="252"/>
      <c r="C234" s="252"/>
      <c r="D234" s="252"/>
      <c r="E234" s="253"/>
      <c r="F234" s="8"/>
    </row>
    <row r="235" spans="1:7" ht="38.25" x14ac:dyDescent="0.2">
      <c r="A235" s="11" t="s">
        <v>8</v>
      </c>
      <c r="B235" s="11" t="s">
        <v>9</v>
      </c>
      <c r="C235" s="12" t="s">
        <v>10</v>
      </c>
      <c r="D235" s="13" t="s">
        <v>11</v>
      </c>
      <c r="E235" s="14" t="s">
        <v>12</v>
      </c>
      <c r="F235" s="8"/>
    </row>
    <row r="236" spans="1:7" ht="18" customHeight="1" x14ac:dyDescent="0.2">
      <c r="A236" s="142" t="s">
        <v>335</v>
      </c>
      <c r="B236" s="186" t="s">
        <v>336</v>
      </c>
      <c r="C236" s="187">
        <f>[7]BS17A!D764</f>
        <v>368</v>
      </c>
      <c r="D236" s="188"/>
      <c r="E236" s="189">
        <f>[7]BS17A!V764</f>
        <v>2225930</v>
      </c>
      <c r="F236" s="8"/>
    </row>
    <row r="237" spans="1:7" ht="18" customHeight="1" x14ac:dyDescent="0.2">
      <c r="A237" s="183"/>
      <c r="B237" s="184"/>
      <c r="C237" s="185"/>
      <c r="D237" s="183"/>
      <c r="E237" s="183"/>
      <c r="F237" s="8"/>
    </row>
    <row r="238" spans="1:7" ht="18" customHeight="1" x14ac:dyDescent="0.2">
      <c r="A238" s="251" t="s">
        <v>337</v>
      </c>
      <c r="B238" s="254"/>
      <c r="C238" s="254"/>
      <c r="D238" s="254"/>
      <c r="E238" s="255"/>
      <c r="F238" s="8"/>
    </row>
    <row r="239" spans="1:7" ht="41.25" customHeight="1" x14ac:dyDescent="0.2">
      <c r="A239" s="11" t="s">
        <v>8</v>
      </c>
      <c r="B239" s="12" t="s">
        <v>338</v>
      </c>
      <c r="C239" s="100" t="s">
        <v>339</v>
      </c>
      <c r="D239" s="13" t="s">
        <v>11</v>
      </c>
      <c r="E239" s="14" t="s">
        <v>12</v>
      </c>
      <c r="F239" s="8"/>
    </row>
    <row r="240" spans="1:7" ht="15" customHeight="1" x14ac:dyDescent="0.2">
      <c r="A240" s="190" t="s">
        <v>340</v>
      </c>
      <c r="B240" s="191" t="s">
        <v>341</v>
      </c>
      <c r="C240" s="19">
        <f>+[7]BS17A!$D1923</f>
        <v>0</v>
      </c>
      <c r="D240" s="37">
        <f>+[7]BS17A!$U1923</f>
        <v>226920</v>
      </c>
      <c r="E240" s="145">
        <f>+[7]BS17A!$V1923</f>
        <v>0</v>
      </c>
      <c r="F240" s="8"/>
    </row>
    <row r="241" spans="1:6" ht="15" customHeight="1" x14ac:dyDescent="0.2">
      <c r="A241" s="192" t="s">
        <v>342</v>
      </c>
      <c r="B241" s="193" t="s">
        <v>343</v>
      </c>
      <c r="C241" s="24">
        <f>+[7]BS17A!$D1924</f>
        <v>0</v>
      </c>
      <c r="D241" s="25">
        <f>+[7]BS17A!$U1924</f>
        <v>32250</v>
      </c>
      <c r="E241" s="146">
        <f>+[7]BS17A!$V1924</f>
        <v>0</v>
      </c>
      <c r="F241" s="8"/>
    </row>
    <row r="242" spans="1:6" ht="15" customHeight="1" x14ac:dyDescent="0.2">
      <c r="A242" s="192" t="s">
        <v>344</v>
      </c>
      <c r="B242" s="193" t="s">
        <v>345</v>
      </c>
      <c r="C242" s="24">
        <f>+[7]BS17A!$D1925</f>
        <v>0</v>
      </c>
      <c r="D242" s="25">
        <f>+[7]BS17A!$U1925</f>
        <v>121620</v>
      </c>
      <c r="E242" s="146">
        <f>+[7]BS17A!$V1925</f>
        <v>0</v>
      </c>
      <c r="F242" s="8"/>
    </row>
    <row r="243" spans="1:6" ht="15" customHeight="1" x14ac:dyDescent="0.2">
      <c r="A243" s="192" t="s">
        <v>346</v>
      </c>
      <c r="B243" s="193" t="s">
        <v>347</v>
      </c>
      <c r="C243" s="24">
        <f>+[7]BS17A!$D1926</f>
        <v>0</v>
      </c>
      <c r="D243" s="25">
        <f>+[7]BS17A!$U1926</f>
        <v>121620</v>
      </c>
      <c r="E243" s="146">
        <f>+[7]BS17A!$V1926</f>
        <v>0</v>
      </c>
      <c r="F243" s="8"/>
    </row>
    <row r="244" spans="1:6" ht="15" customHeight="1" x14ac:dyDescent="0.2">
      <c r="A244" s="192" t="s">
        <v>348</v>
      </c>
      <c r="B244" s="193" t="s">
        <v>349</v>
      </c>
      <c r="C244" s="24">
        <f>+[7]BS17A!$D1927</f>
        <v>0</v>
      </c>
      <c r="D244" s="25">
        <f>+[7]BS17A!$U1927</f>
        <v>221430</v>
      </c>
      <c r="E244" s="146">
        <f>+[7]BS17A!$V1927</f>
        <v>0</v>
      </c>
      <c r="F244" s="8"/>
    </row>
    <row r="245" spans="1:6" ht="15" customHeight="1" x14ac:dyDescent="0.2">
      <c r="A245" s="192" t="s">
        <v>350</v>
      </c>
      <c r="B245" s="193" t="s">
        <v>351</v>
      </c>
      <c r="C245" s="24">
        <f>+[7]BS17A!$D1928</f>
        <v>0</v>
      </c>
      <c r="D245" s="25">
        <f>+[7]BS17A!$U1928</f>
        <v>339820</v>
      </c>
      <c r="E245" s="146">
        <f>+[7]BS17A!$V1928</f>
        <v>0</v>
      </c>
      <c r="F245" s="8"/>
    </row>
    <row r="246" spans="1:6" ht="15" customHeight="1" x14ac:dyDescent="0.2">
      <c r="A246" s="192" t="s">
        <v>352</v>
      </c>
      <c r="B246" s="193" t="s">
        <v>353</v>
      </c>
      <c r="C246" s="24">
        <f>+[7]BS17A!$D1929</f>
        <v>0</v>
      </c>
      <c r="D246" s="25">
        <f>+[7]BS17A!$U1929</f>
        <v>579700</v>
      </c>
      <c r="E246" s="146">
        <f>+[7]BS17A!$V1929</f>
        <v>0</v>
      </c>
      <c r="F246" s="8"/>
    </row>
    <row r="247" spans="1:6" ht="15" customHeight="1" x14ac:dyDescent="0.2">
      <c r="A247" s="194" t="s">
        <v>354</v>
      </c>
      <c r="B247" s="193" t="s">
        <v>355</v>
      </c>
      <c r="C247" s="24">
        <f>+[7]BS17A!$D1930</f>
        <v>0</v>
      </c>
      <c r="D247" s="25">
        <f>+[7]BS17A!$U1930</f>
        <v>120740</v>
      </c>
      <c r="E247" s="146">
        <f>+[7]BS17A!$V1930</f>
        <v>0</v>
      </c>
      <c r="F247" s="8"/>
    </row>
    <row r="248" spans="1:6" ht="15" customHeight="1" x14ac:dyDescent="0.2">
      <c r="A248" s="194" t="s">
        <v>356</v>
      </c>
      <c r="B248" s="193" t="s">
        <v>357</v>
      </c>
      <c r="C248" s="24">
        <f>+[7]BS17A!$D1931</f>
        <v>0</v>
      </c>
      <c r="D248" s="25">
        <f>+[7]BS17A!$U1931</f>
        <v>325420</v>
      </c>
      <c r="E248" s="146">
        <f>+[7]BS17A!$V1931</f>
        <v>0</v>
      </c>
      <c r="F248" s="8"/>
    </row>
    <row r="249" spans="1:6" ht="15" customHeight="1" x14ac:dyDescent="0.2">
      <c r="A249" s="194" t="s">
        <v>358</v>
      </c>
      <c r="B249" s="193" t="s">
        <v>359</v>
      </c>
      <c r="C249" s="66">
        <f>+[7]BS17A!$D1932</f>
        <v>0</v>
      </c>
      <c r="D249" s="32">
        <f>+[7]BS17A!$U1932</f>
        <v>137020</v>
      </c>
      <c r="E249" s="195">
        <f>+[7]BS17A!$V1932</f>
        <v>0</v>
      </c>
      <c r="F249" s="8"/>
    </row>
    <row r="250" spans="1:6" ht="15" customHeight="1" x14ac:dyDescent="0.2">
      <c r="A250" s="194" t="s">
        <v>360</v>
      </c>
      <c r="B250" s="193" t="s">
        <v>361</v>
      </c>
      <c r="C250" s="66">
        <f>+[7]BS17A!$D1933</f>
        <v>0</v>
      </c>
      <c r="D250" s="32">
        <f>+[7]BS17A!$U1933</f>
        <v>119070</v>
      </c>
      <c r="E250" s="195">
        <f>+[7]BS17A!$V1933</f>
        <v>0</v>
      </c>
      <c r="F250" s="8"/>
    </row>
    <row r="251" spans="1:6" ht="15" customHeight="1" x14ac:dyDescent="0.2">
      <c r="A251" s="194" t="s">
        <v>362</v>
      </c>
      <c r="B251" s="193" t="s">
        <v>363</v>
      </c>
      <c r="C251" s="66">
        <f>+[7]BS17A!$D1934</f>
        <v>0</v>
      </c>
      <c r="D251" s="32">
        <f>+[7]BS17A!$U1934</f>
        <v>181020</v>
      </c>
      <c r="E251" s="195">
        <f>+[7]BS17A!$V1934</f>
        <v>0</v>
      </c>
      <c r="F251" s="8"/>
    </row>
    <row r="252" spans="1:6" ht="15" customHeight="1" x14ac:dyDescent="0.2">
      <c r="A252" s="194" t="s">
        <v>364</v>
      </c>
      <c r="B252" s="193" t="s">
        <v>365</v>
      </c>
      <c r="C252" s="66">
        <f>+[7]BS17A!$D1935</f>
        <v>0</v>
      </c>
      <c r="D252" s="32">
        <f>+[7]BS17A!$U1935</f>
        <v>47640</v>
      </c>
      <c r="E252" s="195">
        <f>+[7]BS17A!$V1935</f>
        <v>0</v>
      </c>
      <c r="F252" s="8"/>
    </row>
    <row r="253" spans="1:6" ht="15" customHeight="1" x14ac:dyDescent="0.2">
      <c r="A253" s="196" t="s">
        <v>366</v>
      </c>
      <c r="B253" s="197" t="s">
        <v>367</v>
      </c>
      <c r="C253" s="31">
        <f>+[7]BS17A!$D1936</f>
        <v>0</v>
      </c>
      <c r="D253" s="40">
        <f>+[7]BS17A!$U1936</f>
        <v>35600</v>
      </c>
      <c r="E253" s="153">
        <f>+[7]BS17A!$V1936</f>
        <v>0</v>
      </c>
      <c r="F253" s="8"/>
    </row>
    <row r="254" spans="1:6" ht="15" customHeight="1" x14ac:dyDescent="0.2">
      <c r="A254" s="242" t="s">
        <v>368</v>
      </c>
      <c r="B254" s="243"/>
      <c r="C254" s="243"/>
      <c r="D254" s="243"/>
      <c r="E254" s="244"/>
      <c r="F254" s="8"/>
    </row>
    <row r="255" spans="1:6" ht="15" customHeight="1" x14ac:dyDescent="0.2">
      <c r="A255" s="17" t="s">
        <v>369</v>
      </c>
      <c r="B255" s="198" t="s">
        <v>341</v>
      </c>
      <c r="C255" s="19">
        <f>+[7]BS17A!$D1937</f>
        <v>0</v>
      </c>
      <c r="D255" s="37">
        <f>+[7]BS17A!$U1937</f>
        <v>195210</v>
      </c>
      <c r="E255" s="145">
        <f>+[7]BS17A!$V1937</f>
        <v>0</v>
      </c>
      <c r="F255" s="8"/>
    </row>
    <row r="256" spans="1:6" ht="15" customHeight="1" x14ac:dyDescent="0.2">
      <c r="A256" s="22" t="s">
        <v>370</v>
      </c>
      <c r="B256" s="34" t="s">
        <v>371</v>
      </c>
      <c r="C256" s="24">
        <f>+[7]BS17A!$D1938</f>
        <v>0</v>
      </c>
      <c r="D256" s="25">
        <f>+[7]BS17A!$U1938</f>
        <v>1161300</v>
      </c>
      <c r="E256" s="146">
        <f>+[7]BS17A!$V1938</f>
        <v>0</v>
      </c>
      <c r="F256" s="8"/>
    </row>
    <row r="257" spans="1:6" ht="15" customHeight="1" x14ac:dyDescent="0.2">
      <c r="A257" s="22" t="s">
        <v>372</v>
      </c>
      <c r="B257" s="34" t="s">
        <v>373</v>
      </c>
      <c r="C257" s="24">
        <f>+[7]BS17A!$D1939</f>
        <v>0</v>
      </c>
      <c r="D257" s="25">
        <f>+[7]BS17A!$U1939</f>
        <v>175210</v>
      </c>
      <c r="E257" s="146">
        <f>+[7]BS17A!$V1939</f>
        <v>0</v>
      </c>
      <c r="F257" s="8"/>
    </row>
    <row r="258" spans="1:6" ht="15" customHeight="1" x14ac:dyDescent="0.2">
      <c r="A258" s="22" t="s">
        <v>374</v>
      </c>
      <c r="B258" s="34" t="s">
        <v>375</v>
      </c>
      <c r="C258" s="24">
        <f>+[7]BS17A!$D1940</f>
        <v>0</v>
      </c>
      <c r="D258" s="25">
        <f>+[7]BS17A!$U1940</f>
        <v>154940</v>
      </c>
      <c r="E258" s="146">
        <f>+[7]BS17A!$V1940</f>
        <v>0</v>
      </c>
      <c r="F258" s="8"/>
    </row>
    <row r="259" spans="1:6" ht="15" customHeight="1" x14ac:dyDescent="0.2">
      <c r="A259" s="22" t="s">
        <v>376</v>
      </c>
      <c r="B259" s="34" t="s">
        <v>377</v>
      </c>
      <c r="C259" s="24">
        <f>+[7]BS17A!$D1941</f>
        <v>0</v>
      </c>
      <c r="D259" s="25">
        <f>+[7]BS17A!$U1941</f>
        <v>314530</v>
      </c>
      <c r="E259" s="146">
        <f>+[7]BS17A!$V1941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24">
        <f>+[7]BS17A!$D1942</f>
        <v>0</v>
      </c>
      <c r="D260" s="25">
        <f>+[7]BS17A!$U1942</f>
        <v>1045930</v>
      </c>
      <c r="E260" s="146">
        <f>+[7]BS17A!$V1942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24">
        <f>+[7]BS17A!$D1943</f>
        <v>0</v>
      </c>
      <c r="D261" s="25">
        <f>+[7]BS17A!$U1943</f>
        <v>1074870</v>
      </c>
      <c r="E261" s="146">
        <f>+[7]BS17A!$V1943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24">
        <f>+[7]BS17A!$D1944</f>
        <v>0</v>
      </c>
      <c r="D262" s="25">
        <f>+[7]BS17A!$U1944</f>
        <v>851060</v>
      </c>
      <c r="E262" s="146">
        <f>+[7]BS17A!$V1944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24">
        <f>+[7]BS17A!$D1945</f>
        <v>0</v>
      </c>
      <c r="D263" s="25">
        <f>+[7]BS17A!$U1945</f>
        <v>896940</v>
      </c>
      <c r="E263" s="146">
        <f>+[7]BS17A!$V1945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24">
        <f>+[7]BS17A!$D1946</f>
        <v>0</v>
      </c>
      <c r="D264" s="25">
        <f>+[7]BS17A!$U1946</f>
        <v>353830</v>
      </c>
      <c r="E264" s="146">
        <f>+[7]BS17A!$V1946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24">
        <f>+[7]BS17A!$D1947</f>
        <v>0</v>
      </c>
      <c r="D265" s="25">
        <f>+[7]BS17A!$U1947</f>
        <v>84740</v>
      </c>
      <c r="E265" s="146">
        <f>+[7]BS17A!$V1947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24">
        <f>+[7]BS17A!$D1948</f>
        <v>0</v>
      </c>
      <c r="D266" s="25">
        <f>+[7]BS17A!$U1948</f>
        <v>252810</v>
      </c>
      <c r="E266" s="146">
        <f>+[7]BS17A!$V1948</f>
        <v>0</v>
      </c>
      <c r="F266" s="8"/>
    </row>
    <row r="267" spans="1:6" ht="15" customHeight="1" x14ac:dyDescent="0.2">
      <c r="A267" s="22" t="s">
        <v>392</v>
      </c>
      <c r="B267" s="23" t="s">
        <v>393</v>
      </c>
      <c r="C267" s="24">
        <f>+[7]BS17A!$D1949</f>
        <v>0</v>
      </c>
      <c r="D267" s="25">
        <f>+[7]BS17A!$U1949</f>
        <v>71480</v>
      </c>
      <c r="E267" s="146">
        <f>+[7]BS17A!$V1949</f>
        <v>0</v>
      </c>
      <c r="F267" s="8"/>
    </row>
    <row r="268" spans="1:6" ht="15" customHeight="1" x14ac:dyDescent="0.2">
      <c r="A268" s="22" t="s">
        <v>394</v>
      </c>
      <c r="B268" s="23" t="s">
        <v>395</v>
      </c>
      <c r="C268" s="24">
        <f>+[7]BS17A!$D1950</f>
        <v>0</v>
      </c>
      <c r="D268" s="25">
        <f>+[7]BS17A!$U1950</f>
        <v>1228260</v>
      </c>
      <c r="E268" s="146">
        <f>+[7]BS17A!$V1950</f>
        <v>0</v>
      </c>
      <c r="F268" s="8"/>
    </row>
    <row r="269" spans="1:6" ht="15" customHeight="1" x14ac:dyDescent="0.2">
      <c r="A269" s="22" t="s">
        <v>396</v>
      </c>
      <c r="B269" s="23" t="s">
        <v>397</v>
      </c>
      <c r="C269" s="24">
        <f>+[7]BS17A!$D1951</f>
        <v>0</v>
      </c>
      <c r="D269" s="25">
        <f>+[7]BS17A!$U1951</f>
        <v>287200</v>
      </c>
      <c r="E269" s="146">
        <f>+[7]BS17A!$V1951</f>
        <v>0</v>
      </c>
      <c r="F269" s="8"/>
    </row>
    <row r="270" spans="1:6" ht="15" customHeight="1" x14ac:dyDescent="0.2">
      <c r="A270" s="22" t="s">
        <v>398</v>
      </c>
      <c r="B270" s="23" t="s">
        <v>399</v>
      </c>
      <c r="C270" s="24">
        <f>+[7]BS17A!$D1952</f>
        <v>0</v>
      </c>
      <c r="D270" s="25">
        <f>+[7]BS17A!$U1952</f>
        <v>962120</v>
      </c>
      <c r="E270" s="146">
        <f>+[7]BS17A!$V1952</f>
        <v>0</v>
      </c>
      <c r="F270" s="8"/>
    </row>
    <row r="271" spans="1:6" ht="15" customHeight="1" x14ac:dyDescent="0.2">
      <c r="A271" s="22" t="s">
        <v>400</v>
      </c>
      <c r="B271" s="30" t="s">
        <v>401</v>
      </c>
      <c r="C271" s="24">
        <f>+[7]BS17A!$D1953</f>
        <v>0</v>
      </c>
      <c r="D271" s="25">
        <f>+[7]BS17A!$U1953</f>
        <v>589010</v>
      </c>
      <c r="E271" s="146">
        <f>+[7]BS17A!$V1953</f>
        <v>0</v>
      </c>
      <c r="F271" s="8"/>
    </row>
    <row r="272" spans="1:6" ht="15" customHeight="1" x14ac:dyDescent="0.2">
      <c r="A272" s="29" t="s">
        <v>402</v>
      </c>
      <c r="B272" s="30" t="s">
        <v>403</v>
      </c>
      <c r="C272" s="31">
        <f>+[7]BS17A!$D1954</f>
        <v>0</v>
      </c>
      <c r="D272" s="32">
        <f>+[7]BS17A!$U1954</f>
        <v>480670</v>
      </c>
      <c r="E272" s="195">
        <f>+[7]BS17A!$V1954</f>
        <v>0</v>
      </c>
      <c r="F272" s="8"/>
    </row>
    <row r="273" spans="1:10" ht="15" customHeight="1" x14ac:dyDescent="0.2">
      <c r="A273" s="242" t="s">
        <v>404</v>
      </c>
      <c r="B273" s="243"/>
      <c r="C273" s="243"/>
      <c r="D273" s="243"/>
      <c r="E273" s="244"/>
      <c r="F273" s="8"/>
    </row>
    <row r="274" spans="1:10" ht="15" customHeight="1" x14ac:dyDescent="0.2">
      <c r="A274" s="17" t="s">
        <v>405</v>
      </c>
      <c r="B274" s="18" t="s">
        <v>406</v>
      </c>
      <c r="C274" s="70">
        <f>+[7]BS17A!$D1955</f>
        <v>0</v>
      </c>
      <c r="D274" s="20">
        <f>[7]BS17A!U1955</f>
        <v>259110</v>
      </c>
      <c r="E274" s="199">
        <f>+[7]BS17A!$V1955</f>
        <v>0</v>
      </c>
      <c r="F274" s="8"/>
    </row>
    <row r="275" spans="1:10" ht="15" customHeight="1" x14ac:dyDescent="0.2">
      <c r="A275" s="22" t="s">
        <v>407</v>
      </c>
      <c r="B275" s="23" t="s">
        <v>408</v>
      </c>
      <c r="C275" s="24">
        <f>+[7]BS17A!$D1956</f>
        <v>0</v>
      </c>
      <c r="D275" s="25">
        <f>[7]BS17A!U1956</f>
        <v>151070</v>
      </c>
      <c r="E275" s="146">
        <f>+[7]BS17A!$V1956</f>
        <v>0</v>
      </c>
      <c r="F275" s="8"/>
    </row>
    <row r="276" spans="1:10" ht="15" customHeight="1" x14ac:dyDescent="0.2">
      <c r="A276" s="22" t="s">
        <v>409</v>
      </c>
      <c r="B276" s="23" t="s">
        <v>410</v>
      </c>
      <c r="C276" s="24">
        <f>+[7]BS17A!$D1957</f>
        <v>0</v>
      </c>
      <c r="D276" s="25">
        <f>[7]BS17A!U1957</f>
        <v>365020</v>
      </c>
      <c r="E276" s="146">
        <f>+[7]BS17A!$V1957</f>
        <v>0</v>
      </c>
      <c r="F276" s="8"/>
    </row>
    <row r="277" spans="1:10" ht="15" customHeight="1" x14ac:dyDescent="0.2">
      <c r="A277" s="22" t="s">
        <v>411</v>
      </c>
      <c r="B277" s="23" t="s">
        <v>412</v>
      </c>
      <c r="C277" s="24">
        <f>+[7]BS17A!$D1958</f>
        <v>0</v>
      </c>
      <c r="D277" s="25">
        <f>[7]BS17A!U1958</f>
        <v>378270</v>
      </c>
      <c r="E277" s="146">
        <f>+[7]BS17A!$V1958</f>
        <v>0</v>
      </c>
      <c r="F277" s="8"/>
    </row>
    <row r="278" spans="1:10" ht="15" customHeight="1" x14ac:dyDescent="0.2">
      <c r="A278" s="29" t="s">
        <v>413</v>
      </c>
      <c r="B278" s="39" t="s">
        <v>414</v>
      </c>
      <c r="C278" s="31">
        <f>+[7]BS17A!$D1959</f>
        <v>0</v>
      </c>
      <c r="D278" s="40">
        <f>[7]BS17A!U1959</f>
        <v>236360</v>
      </c>
      <c r="E278" s="153">
        <f>+[7]BS17A!$V1959</f>
        <v>0</v>
      </c>
      <c r="F278" s="200"/>
    </row>
    <row r="279" spans="1:10" ht="15" customHeight="1" x14ac:dyDescent="0.2">
      <c r="A279" s="201" t="s">
        <v>415</v>
      </c>
      <c r="B279" s="202" t="s">
        <v>416</v>
      </c>
      <c r="C279" s="203">
        <f>+[7]BS17A!$D1960</f>
        <v>85</v>
      </c>
      <c r="D279" s="204">
        <f>[7]BS17A!U1960</f>
        <v>32140</v>
      </c>
      <c r="E279" s="189">
        <f>+[7]BS17A!$V1960</f>
        <v>2731900</v>
      </c>
      <c r="F279" s="200"/>
    </row>
    <row r="280" spans="1:10" ht="15" customHeight="1" x14ac:dyDescent="0.2">
      <c r="A280" s="130"/>
      <c r="B280" s="205" t="s">
        <v>417</v>
      </c>
      <c r="C280" s="44">
        <f>SUM(C240:C279)</f>
        <v>85</v>
      </c>
      <c r="D280" s="151"/>
      <c r="E280" s="152">
        <f>SUM(E240:E279)</f>
        <v>2731900</v>
      </c>
      <c r="F280" s="200"/>
    </row>
    <row r="281" spans="1:10" ht="18" customHeight="1" x14ac:dyDescent="0.2">
      <c r="A281" s="183"/>
      <c r="B281" s="8"/>
      <c r="C281" s="8"/>
      <c r="D281" s="183"/>
      <c r="E281" s="183"/>
      <c r="F281" s="8"/>
    </row>
    <row r="282" spans="1:10" ht="18" customHeight="1" x14ac:dyDescent="0.2">
      <c r="A282" s="183"/>
      <c r="B282" s="185"/>
      <c r="C282" s="185"/>
      <c r="D282" s="183"/>
      <c r="E282" s="183"/>
      <c r="F282" s="206"/>
      <c r="G282" s="207"/>
      <c r="J282" s="208"/>
    </row>
    <row r="283" spans="1:10" ht="12.75" customHeight="1" x14ac:dyDescent="0.2">
      <c r="A283" s="251" t="s">
        <v>418</v>
      </c>
      <c r="B283" s="254"/>
      <c r="C283" s="254"/>
      <c r="D283" s="254"/>
      <c r="E283" s="255"/>
      <c r="F283" s="8"/>
    </row>
    <row r="284" spans="1:10" ht="44.25" customHeight="1" x14ac:dyDescent="0.2">
      <c r="A284" s="11" t="s">
        <v>8</v>
      </c>
      <c r="B284" s="11" t="s">
        <v>418</v>
      </c>
      <c r="C284" s="12" t="s">
        <v>339</v>
      </c>
      <c r="D284" s="13" t="s">
        <v>11</v>
      </c>
      <c r="E284" s="14" t="s">
        <v>12</v>
      </c>
      <c r="F284" s="200"/>
    </row>
    <row r="285" spans="1:10" ht="15" customHeight="1" x14ac:dyDescent="0.2">
      <c r="A285" s="17" t="s">
        <v>419</v>
      </c>
      <c r="B285" s="209" t="s">
        <v>420</v>
      </c>
      <c r="C285" s="19">
        <f>+[7]BS17A!$D1962</f>
        <v>5</v>
      </c>
      <c r="D285" s="37">
        <f>+[7]BS17A!$U1962</f>
        <v>6320</v>
      </c>
      <c r="E285" s="145">
        <f>+[7]BS17A!$V1962</f>
        <v>31600</v>
      </c>
      <c r="F285" s="8"/>
    </row>
    <row r="286" spans="1:10" ht="15" customHeight="1" x14ac:dyDescent="0.2">
      <c r="A286" s="22" t="s">
        <v>421</v>
      </c>
      <c r="B286" s="210" t="s">
        <v>422</v>
      </c>
      <c r="C286" s="24">
        <f>+[7]BS17A!$D1963</f>
        <v>0</v>
      </c>
      <c r="D286" s="25">
        <f>+[7]BS17A!$U1963</f>
        <v>3370</v>
      </c>
      <c r="E286" s="146">
        <f>+[7]BS17A!$V1963</f>
        <v>0</v>
      </c>
      <c r="F286" s="8"/>
    </row>
    <row r="287" spans="1:10" ht="15" customHeight="1" x14ac:dyDescent="0.2">
      <c r="A287" s="22" t="s">
        <v>423</v>
      </c>
      <c r="B287" s="210" t="s">
        <v>424</v>
      </c>
      <c r="C287" s="24">
        <f>+[7]BS17A!$D1964</f>
        <v>2</v>
      </c>
      <c r="D287" s="25">
        <f>+[7]BS17A!$U1964</f>
        <v>12690</v>
      </c>
      <c r="E287" s="146">
        <f>+[7]BS17A!$V1964</f>
        <v>25380</v>
      </c>
      <c r="F287" s="8"/>
    </row>
    <row r="288" spans="1:10" ht="15" customHeight="1" x14ac:dyDescent="0.2">
      <c r="A288" s="22" t="s">
        <v>425</v>
      </c>
      <c r="B288" s="210" t="s">
        <v>426</v>
      </c>
      <c r="C288" s="24">
        <f>+[7]BS17A!$D1965</f>
        <v>0</v>
      </c>
      <c r="D288" s="25">
        <f>+[7]BS17A!$U1965</f>
        <v>130140</v>
      </c>
      <c r="E288" s="146">
        <f>+[7]BS17A!$V1965</f>
        <v>0</v>
      </c>
      <c r="F288" s="8"/>
    </row>
    <row r="289" spans="1:7" ht="15" customHeight="1" x14ac:dyDescent="0.2">
      <c r="A289" s="29" t="s">
        <v>427</v>
      </c>
      <c r="B289" s="211" t="s">
        <v>428</v>
      </c>
      <c r="C289" s="31">
        <f>+[7]BS17A!$D1966</f>
        <v>0</v>
      </c>
      <c r="D289" s="40">
        <f>+[7]BS17A!$U1966</f>
        <v>714770</v>
      </c>
      <c r="E289" s="153">
        <f>+[7]BS17A!$V1966</f>
        <v>0</v>
      </c>
      <c r="F289" s="8"/>
    </row>
    <row r="290" spans="1:7" ht="15" customHeight="1" x14ac:dyDescent="0.2">
      <c r="A290" s="130"/>
      <c r="B290" s="131" t="s">
        <v>429</v>
      </c>
      <c r="C290" s="56">
        <f>SUM(C285:C289)</f>
        <v>7</v>
      </c>
      <c r="D290" s="57"/>
      <c r="E290" s="107">
        <f>SUM(E285:E289)</f>
        <v>56980</v>
      </c>
      <c r="F290" s="8"/>
    </row>
    <row r="291" spans="1:7" ht="18" customHeight="1" x14ac:dyDescent="0.2">
      <c r="A291" s="183"/>
      <c r="B291" s="185"/>
      <c r="C291" s="183"/>
      <c r="D291" s="183"/>
      <c r="E291" s="183"/>
      <c r="F291" s="8"/>
    </row>
    <row r="292" spans="1:7" ht="18" customHeight="1" x14ac:dyDescent="0.2">
      <c r="A292" s="183"/>
      <c r="B292" s="185"/>
      <c r="C292" s="183"/>
      <c r="D292" s="183"/>
      <c r="E292" s="183"/>
      <c r="F292" s="212"/>
      <c r="G292" s="10"/>
    </row>
    <row r="293" spans="1:7" ht="12.75" x14ac:dyDescent="0.2">
      <c r="A293" s="242" t="s">
        <v>430</v>
      </c>
      <c r="B293" s="243"/>
      <c r="C293" s="243"/>
      <c r="D293" s="243"/>
      <c r="E293" s="244"/>
      <c r="F293" s="213"/>
      <c r="G293" s="10"/>
    </row>
    <row r="294" spans="1:7" ht="36.75" customHeight="1" x14ac:dyDescent="0.2">
      <c r="A294" s="11" t="s">
        <v>8</v>
      </c>
      <c r="B294" s="214" t="s">
        <v>430</v>
      </c>
      <c r="C294" s="215" t="s">
        <v>431</v>
      </c>
      <c r="D294" s="13" t="s">
        <v>11</v>
      </c>
      <c r="E294" s="14" t="s">
        <v>12</v>
      </c>
      <c r="F294" s="213"/>
      <c r="G294" s="10"/>
    </row>
    <row r="295" spans="1:7" ht="15" customHeight="1" x14ac:dyDescent="0.2">
      <c r="A295" s="17" t="s">
        <v>432</v>
      </c>
      <c r="B295" s="36" t="s">
        <v>433</v>
      </c>
      <c r="C295" s="19">
        <f>+[7]BS17A!$D1851</f>
        <v>267</v>
      </c>
      <c r="D295" s="37">
        <f>+[7]BS17A!$U1851</f>
        <v>16920</v>
      </c>
      <c r="E295" s="145">
        <f>+[7]BS17A!$V1851</f>
        <v>4517640</v>
      </c>
      <c r="F295" s="8"/>
    </row>
    <row r="296" spans="1:7" ht="15" customHeight="1" x14ac:dyDescent="0.2">
      <c r="A296" s="22" t="s">
        <v>434</v>
      </c>
      <c r="B296" s="28" t="s">
        <v>435</v>
      </c>
      <c r="C296" s="24">
        <f>+[7]BS17A!$D1852</f>
        <v>152</v>
      </c>
      <c r="D296" s="25">
        <f>+[7]BS17A!$U1852</f>
        <v>53200</v>
      </c>
      <c r="E296" s="146">
        <f>+[7]BS17A!$V1852</f>
        <v>8086400</v>
      </c>
      <c r="F296" s="8"/>
    </row>
    <row r="297" spans="1:7" ht="15" customHeight="1" x14ac:dyDescent="0.2">
      <c r="A297" s="22" t="s">
        <v>436</v>
      </c>
      <c r="B297" s="28" t="s">
        <v>437</v>
      </c>
      <c r="C297" s="24">
        <f>+[7]BS17A!$D1853</f>
        <v>0</v>
      </c>
      <c r="D297" s="25">
        <f>+[7]BS17A!$U1853</f>
        <v>65950</v>
      </c>
      <c r="E297" s="146">
        <f>+[7]BS17A!$V1853</f>
        <v>0</v>
      </c>
      <c r="F297" s="8"/>
    </row>
    <row r="298" spans="1:7" ht="15" customHeight="1" x14ac:dyDescent="0.2">
      <c r="A298" s="22" t="s">
        <v>438</v>
      </c>
      <c r="B298" s="28" t="s">
        <v>439</v>
      </c>
      <c r="C298" s="24">
        <f>+[7]BS17A!$D1854</f>
        <v>168</v>
      </c>
      <c r="D298" s="25">
        <f>+[7]BS17A!$U1854</f>
        <v>2320</v>
      </c>
      <c r="E298" s="146">
        <f>+[7]BS17A!$V1854</f>
        <v>389760</v>
      </c>
      <c r="F298" s="8"/>
    </row>
    <row r="299" spans="1:7" ht="15" customHeight="1" x14ac:dyDescent="0.2">
      <c r="A299" s="22" t="s">
        <v>440</v>
      </c>
      <c r="B299" s="28" t="s">
        <v>441</v>
      </c>
      <c r="C299" s="24">
        <f>+[7]BS17A!$D1855</f>
        <v>0</v>
      </c>
      <c r="D299" s="25">
        <f>+[7]BS17A!$U1855</f>
        <v>70</v>
      </c>
      <c r="E299" s="146">
        <f>+[7]BS17A!$V1855</f>
        <v>0</v>
      </c>
      <c r="F299" s="8"/>
    </row>
    <row r="300" spans="1:7" ht="15" customHeight="1" x14ac:dyDescent="0.2">
      <c r="A300" s="22" t="s">
        <v>442</v>
      </c>
      <c r="B300" s="23" t="s">
        <v>443</v>
      </c>
      <c r="C300" s="24">
        <f>+[7]BS17A!$D1856</f>
        <v>0</v>
      </c>
      <c r="D300" s="25">
        <f>+[7]BS17A!$U1856</f>
        <v>140030</v>
      </c>
      <c r="E300" s="146">
        <f>+[7]BS17A!$V1856</f>
        <v>0</v>
      </c>
      <c r="F300" s="8"/>
    </row>
    <row r="301" spans="1:7" ht="15" customHeight="1" x14ac:dyDescent="0.2">
      <c r="A301" s="29" t="s">
        <v>444</v>
      </c>
      <c r="B301" s="43" t="s">
        <v>445</v>
      </c>
      <c r="C301" s="31">
        <f>+[7]BS17A!$D1857</f>
        <v>0</v>
      </c>
      <c r="D301" s="40">
        <f>+[7]BS17A!$U1857</f>
        <v>9520</v>
      </c>
      <c r="E301" s="153">
        <f>+[7]BS17A!$V1857</f>
        <v>0</v>
      </c>
      <c r="F301" s="8"/>
    </row>
    <row r="302" spans="1:7" ht="15" customHeight="1" x14ac:dyDescent="0.2">
      <c r="A302" s="96"/>
      <c r="B302" s="246" t="s">
        <v>446</v>
      </c>
      <c r="C302" s="247"/>
      <c r="D302" s="188"/>
      <c r="E302" s="217">
        <f>SUM(E295:E301)</f>
        <v>12993800</v>
      </c>
      <c r="F302" s="8"/>
    </row>
    <row r="303" spans="1:7" ht="12.75" x14ac:dyDescent="0.2">
      <c r="A303" s="8"/>
      <c r="B303" s="8"/>
      <c r="C303" s="8"/>
      <c r="D303" s="8"/>
      <c r="E303" s="8"/>
      <c r="F303" s="175"/>
      <c r="G303" s="182"/>
    </row>
    <row r="304" spans="1:7" ht="12.75" x14ac:dyDescent="0.2">
      <c r="A304" s="8"/>
      <c r="B304" s="8"/>
      <c r="C304" s="8"/>
      <c r="D304" s="8"/>
      <c r="E304" s="8"/>
      <c r="F304" s="175"/>
      <c r="G304" s="182"/>
    </row>
    <row r="305" spans="1:7" ht="12.75" x14ac:dyDescent="0.2">
      <c r="A305" s="239" t="s">
        <v>447</v>
      </c>
      <c r="B305" s="240"/>
      <c r="C305" s="240"/>
      <c r="D305" s="240"/>
      <c r="E305" s="241"/>
      <c r="F305" s="175"/>
      <c r="G305" s="182"/>
    </row>
    <row r="306" spans="1:7" ht="12.75" x14ac:dyDescent="0.2">
      <c r="A306" s="218"/>
      <c r="B306" s="248" t="s">
        <v>448</v>
      </c>
      <c r="C306" s="249"/>
      <c r="D306" s="250"/>
      <c r="E306" s="219">
        <f>+E231+E236+E280+E290+E302</f>
        <v>21517170</v>
      </c>
      <c r="F306" s="8"/>
    </row>
    <row r="307" spans="1:7" ht="12.75" x14ac:dyDescent="0.2">
      <c r="A307" s="8"/>
      <c r="B307" s="8"/>
      <c r="C307" s="8"/>
      <c r="D307" s="8"/>
      <c r="E307" s="8"/>
      <c r="F307" s="175"/>
      <c r="G307" s="182"/>
    </row>
    <row r="308" spans="1:7" ht="12.75" x14ac:dyDescent="0.2">
      <c r="A308" s="8"/>
      <c r="B308" s="8"/>
      <c r="C308" s="8"/>
      <c r="D308" s="8"/>
      <c r="E308" s="8"/>
      <c r="F308" s="175"/>
      <c r="G308" s="182"/>
    </row>
    <row r="309" spans="1:7" ht="12.75" x14ac:dyDescent="0.2">
      <c r="A309" s="239" t="s">
        <v>449</v>
      </c>
      <c r="B309" s="240"/>
      <c r="C309" s="240"/>
      <c r="D309" s="240"/>
      <c r="E309" s="241"/>
      <c r="F309" s="175"/>
      <c r="G309" s="182"/>
    </row>
    <row r="310" spans="1:7" ht="25.5" x14ac:dyDescent="0.2">
      <c r="A310" s="242" t="s">
        <v>450</v>
      </c>
      <c r="B310" s="243"/>
      <c r="C310" s="243"/>
      <c r="D310" s="244"/>
      <c r="E310" s="11" t="s">
        <v>12</v>
      </c>
      <c r="F310" s="175"/>
      <c r="G310" s="182"/>
    </row>
    <row r="311" spans="1:7" ht="15" customHeight="1" x14ac:dyDescent="0.2">
      <c r="A311" s="218"/>
      <c r="B311" s="248" t="s">
        <v>451</v>
      </c>
      <c r="C311" s="249"/>
      <c r="D311" s="250"/>
      <c r="E311" s="219">
        <f>+E50+E76+E84+F109+E116+C121+E148+E155+E167+E203+E217+C224+E306</f>
        <v>589148600</v>
      </c>
      <c r="F311" s="175"/>
      <c r="G311" s="182"/>
    </row>
    <row r="312" spans="1:7" ht="18" customHeight="1" x14ac:dyDescent="0.2">
      <c r="A312" s="8"/>
      <c r="B312" s="8"/>
      <c r="C312" s="8"/>
      <c r="D312" s="8"/>
      <c r="E312" s="8"/>
      <c r="F312" s="5"/>
    </row>
    <row r="313" spans="1:7" ht="18" customHeight="1" x14ac:dyDescent="0.2">
      <c r="A313" s="8"/>
      <c r="B313" s="8"/>
      <c r="C313" s="8"/>
      <c r="D313" s="8"/>
      <c r="E313" s="8"/>
      <c r="F313" s="5"/>
    </row>
    <row r="314" spans="1:7" ht="18" customHeight="1" x14ac:dyDescent="0.2">
      <c r="A314" s="239" t="s">
        <v>452</v>
      </c>
      <c r="B314" s="240"/>
      <c r="C314" s="241"/>
      <c r="D314" s="8"/>
      <c r="E314" s="8"/>
      <c r="F314" s="5"/>
    </row>
    <row r="315" spans="1:7" ht="18" customHeight="1" x14ac:dyDescent="0.2">
      <c r="A315" s="242" t="s">
        <v>453</v>
      </c>
      <c r="B315" s="243"/>
      <c r="C315" s="244"/>
      <c r="D315" s="8"/>
      <c r="E315" s="8"/>
      <c r="F315" s="5"/>
    </row>
    <row r="316" spans="1:7" ht="30.75" customHeight="1" x14ac:dyDescent="0.2">
      <c r="A316" s="239" t="s">
        <v>454</v>
      </c>
      <c r="B316" s="240"/>
      <c r="C316" s="11" t="s">
        <v>455</v>
      </c>
      <c r="D316" s="8"/>
      <c r="E316" s="8"/>
      <c r="F316" s="8"/>
    </row>
    <row r="317" spans="1:7" ht="15" customHeight="1" x14ac:dyDescent="0.2">
      <c r="A317" s="220" t="s">
        <v>456</v>
      </c>
      <c r="B317" s="191"/>
      <c r="C317" s="221"/>
      <c r="D317" s="8"/>
      <c r="E317" s="8"/>
      <c r="F317" s="8"/>
    </row>
    <row r="318" spans="1:7" ht="15" customHeight="1" x14ac:dyDescent="0.2">
      <c r="A318" s="24" t="s">
        <v>457</v>
      </c>
      <c r="B318" s="193"/>
      <c r="C318" s="222"/>
      <c r="D318" s="8"/>
      <c r="E318" s="8"/>
      <c r="F318" s="8"/>
    </row>
    <row r="319" spans="1:7" ht="15" customHeight="1" x14ac:dyDescent="0.2">
      <c r="A319" s="24" t="s">
        <v>458</v>
      </c>
      <c r="B319" s="193"/>
      <c r="C319" s="222"/>
      <c r="D319" s="8"/>
      <c r="E319" s="8"/>
      <c r="F319" s="8"/>
    </row>
    <row r="320" spans="1:7" ht="15" customHeight="1" x14ac:dyDescent="0.2">
      <c r="A320" s="223" t="s">
        <v>459</v>
      </c>
      <c r="B320" s="193"/>
      <c r="C320" s="222"/>
      <c r="D320" s="8"/>
      <c r="E320" s="8"/>
      <c r="F320" s="8"/>
    </row>
    <row r="321" spans="1:6" ht="15" customHeight="1" x14ac:dyDescent="0.2">
      <c r="A321" s="224" t="s">
        <v>460</v>
      </c>
      <c r="B321" s="225"/>
      <c r="C321" s="226">
        <f>SUM(C317:C320)</f>
        <v>0</v>
      </c>
      <c r="D321" s="8"/>
      <c r="E321" s="8"/>
      <c r="F321" s="8"/>
    </row>
    <row r="322" spans="1:6" ht="15" customHeight="1" x14ac:dyDescent="0.2">
      <c r="A322" s="19" t="s">
        <v>461</v>
      </c>
      <c r="B322" s="227"/>
      <c r="C322" s="221">
        <v>899770</v>
      </c>
      <c r="D322" s="8"/>
      <c r="E322" s="8"/>
      <c r="F322" s="8"/>
    </row>
    <row r="323" spans="1:6" ht="15" customHeight="1" x14ac:dyDescent="0.2">
      <c r="A323" s="228" t="s">
        <v>462</v>
      </c>
      <c r="B323" s="229"/>
      <c r="C323" s="222"/>
      <c r="D323" s="8"/>
      <c r="E323" s="8"/>
      <c r="F323" s="8"/>
    </row>
    <row r="324" spans="1:6" ht="15" customHeight="1" x14ac:dyDescent="0.2">
      <c r="A324" s="24" t="s">
        <v>463</v>
      </c>
      <c r="B324" s="229"/>
      <c r="C324" s="222"/>
      <c r="D324" s="8"/>
      <c r="E324" s="8"/>
      <c r="F324" s="8"/>
    </row>
    <row r="325" spans="1:6" ht="15" customHeight="1" x14ac:dyDescent="0.2">
      <c r="A325" s="24" t="s">
        <v>464</v>
      </c>
      <c r="B325" s="229"/>
      <c r="C325" s="222"/>
      <c r="D325" s="8"/>
      <c r="E325" s="8"/>
      <c r="F325" s="8"/>
    </row>
    <row r="326" spans="1:6" ht="15" customHeight="1" x14ac:dyDescent="0.2">
      <c r="A326" s="228" t="s">
        <v>465</v>
      </c>
      <c r="B326" s="229"/>
      <c r="C326" s="222"/>
      <c r="D326" s="8"/>
      <c r="E326" s="8"/>
      <c r="F326" s="8"/>
    </row>
    <row r="327" spans="1:6" ht="15" customHeight="1" x14ac:dyDescent="0.2">
      <c r="A327" s="228" t="s">
        <v>466</v>
      </c>
      <c r="B327" s="229"/>
      <c r="C327" s="222"/>
      <c r="D327" s="8"/>
      <c r="E327" s="8"/>
      <c r="F327" s="8"/>
    </row>
    <row r="328" spans="1:6" ht="15" customHeight="1" x14ac:dyDescent="0.2">
      <c r="A328" s="230" t="s">
        <v>467</v>
      </c>
      <c r="B328" s="231"/>
      <c r="C328" s="232">
        <v>37684433</v>
      </c>
      <c r="D328" s="8"/>
      <c r="E328" s="8"/>
      <c r="F328" s="8"/>
    </row>
    <row r="329" spans="1:6" ht="15" customHeight="1" x14ac:dyDescent="0.2">
      <c r="A329" s="44"/>
      <c r="B329" s="233" t="s">
        <v>468</v>
      </c>
      <c r="C329" s="163">
        <f>SUM(C321:C328)</f>
        <v>38584203</v>
      </c>
      <c r="D329" s="8"/>
      <c r="E329" s="8"/>
      <c r="F329" s="8"/>
    </row>
    <row r="330" spans="1:6" ht="12.75" x14ac:dyDescent="0.2">
      <c r="A330" s="8"/>
      <c r="B330" s="8"/>
      <c r="C330" s="8"/>
      <c r="D330" s="8"/>
      <c r="E330" s="8"/>
      <c r="F330" s="5"/>
    </row>
    <row r="331" spans="1:6" ht="12.75" x14ac:dyDescent="0.2">
      <c r="A331" s="8"/>
      <c r="B331" s="8"/>
      <c r="C331" s="8"/>
      <c r="D331" s="8"/>
      <c r="E331" s="8"/>
      <c r="F331" s="5"/>
    </row>
    <row r="332" spans="1:6" ht="12.75" x14ac:dyDescent="0.2">
      <c r="A332" s="8"/>
      <c r="B332" s="8"/>
      <c r="C332" s="8"/>
      <c r="D332" s="8"/>
      <c r="E332" s="8"/>
      <c r="F332" s="5"/>
    </row>
    <row r="333" spans="1:6" ht="12.75" x14ac:dyDescent="0.2">
      <c r="A333" s="183"/>
      <c r="B333" s="183"/>
      <c r="C333" s="183"/>
      <c r="D333" s="183"/>
      <c r="E333" s="183"/>
      <c r="F333" s="212"/>
    </row>
    <row r="334" spans="1:6" ht="12.75" x14ac:dyDescent="0.2">
      <c r="A334" s="183"/>
      <c r="B334" s="183"/>
      <c r="C334" s="183"/>
      <c r="D334" s="183"/>
      <c r="E334" s="245" t="str">
        <f>[7]NOMBRE!B12</f>
        <v xml:space="preserve">SRA. MARIA INES NUÑEZ </v>
      </c>
      <c r="F334" s="245"/>
    </row>
    <row r="335" spans="1:6" ht="12.75" x14ac:dyDescent="0.2">
      <c r="A335" s="183"/>
      <c r="B335" s="183"/>
      <c r="C335" s="183"/>
      <c r="D335" s="185"/>
      <c r="E335" s="238" t="str">
        <f>[7]NOMBRE!A12</f>
        <v>Jefe de Estadisticas</v>
      </c>
      <c r="F335" s="238"/>
    </row>
    <row r="336" spans="1:6" ht="12.75" x14ac:dyDescent="0.2">
      <c r="A336" s="183"/>
      <c r="B336" s="183"/>
      <c r="C336" s="183"/>
      <c r="D336" s="183"/>
      <c r="E336" s="234"/>
      <c r="F336" s="235"/>
    </row>
    <row r="337" spans="1:6" ht="12.75" x14ac:dyDescent="0.2">
      <c r="A337" s="183"/>
      <c r="B337" s="183"/>
      <c r="C337" s="183"/>
      <c r="D337" s="183"/>
      <c r="E337" s="235"/>
      <c r="F337" s="235"/>
    </row>
    <row r="338" spans="1:6" ht="12.75" x14ac:dyDescent="0.2">
      <c r="A338" s="183"/>
      <c r="B338" s="183"/>
      <c r="C338" s="183"/>
      <c r="D338" s="183"/>
      <c r="E338" s="235"/>
      <c r="F338" s="235"/>
    </row>
    <row r="339" spans="1:6" ht="12.75" x14ac:dyDescent="0.2">
      <c r="A339" s="183"/>
      <c r="B339" s="183"/>
      <c r="C339" s="183"/>
      <c r="D339" s="183"/>
      <c r="E339" s="235"/>
      <c r="F339" s="235"/>
    </row>
    <row r="340" spans="1:6" ht="12.75" x14ac:dyDescent="0.2">
      <c r="A340" s="183"/>
      <c r="B340" s="183"/>
      <c r="C340" s="183"/>
      <c r="D340" s="183"/>
      <c r="E340" s="235"/>
      <c r="F340" s="235"/>
    </row>
    <row r="341" spans="1:6" ht="12.75" x14ac:dyDescent="0.2">
      <c r="A341" s="183"/>
      <c r="B341" s="183"/>
      <c r="C341" s="183"/>
      <c r="D341" s="183"/>
      <c r="E341" s="235"/>
      <c r="F341" s="235"/>
    </row>
    <row r="342" spans="1:6" ht="12.75" x14ac:dyDescent="0.2">
      <c r="A342" s="183"/>
      <c r="B342" s="183"/>
      <c r="C342" s="183"/>
      <c r="D342" s="183"/>
      <c r="E342" s="235"/>
      <c r="F342" s="235"/>
    </row>
    <row r="343" spans="1:6" ht="12.75" x14ac:dyDescent="0.2">
      <c r="A343" s="183"/>
      <c r="B343" s="183"/>
      <c r="C343" s="183"/>
      <c r="D343" s="183"/>
      <c r="E343" s="245" t="str">
        <f>[7]NOMBRE!B11</f>
        <v xml:space="preserve">DR. RUBEN BRAVO  CASTILLO </v>
      </c>
      <c r="F343" s="245"/>
    </row>
    <row r="344" spans="1:6" ht="22.5" customHeight="1" x14ac:dyDescent="0.2">
      <c r="A344" s="183"/>
      <c r="B344" s="183"/>
      <c r="C344" s="183"/>
      <c r="D344" s="212"/>
      <c r="E344" s="238" t="str">
        <f>CONCATENATE("Director ",[7]NOMBRE!B1)</f>
        <v xml:space="preserve">Director </v>
      </c>
      <c r="F344" s="238"/>
    </row>
    <row r="345" spans="1:6" ht="12.75" x14ac:dyDescent="0.2">
      <c r="A345" s="183"/>
      <c r="B345" s="183"/>
      <c r="C345" s="183"/>
      <c r="D345" s="236"/>
      <c r="E345" s="183"/>
      <c r="F345" s="212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27:E227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0:E170"/>
    <mergeCell ref="A206:E206"/>
    <mergeCell ref="A220:C220"/>
    <mergeCell ref="B311:D311"/>
    <mergeCell ref="A234:E234"/>
    <mergeCell ref="A238:E238"/>
    <mergeCell ref="A254:E254"/>
    <mergeCell ref="A273:E273"/>
    <mergeCell ref="A283:E283"/>
    <mergeCell ref="A293:E293"/>
    <mergeCell ref="B302:C302"/>
    <mergeCell ref="A305:E305"/>
    <mergeCell ref="B306:D306"/>
    <mergeCell ref="A309:E309"/>
    <mergeCell ref="A310:D310"/>
    <mergeCell ref="E344:F344"/>
    <mergeCell ref="A314:C314"/>
    <mergeCell ref="A315:C315"/>
    <mergeCell ref="A316:B316"/>
    <mergeCell ref="E334:F334"/>
    <mergeCell ref="E335:F335"/>
    <mergeCell ref="E343:F3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workbookViewId="0">
      <selection activeCell="B10" sqref="B10"/>
    </sheetView>
  </sheetViews>
  <sheetFormatPr baseColWidth="10" defaultRowHeight="10.5" x14ac:dyDescent="0.15"/>
  <cols>
    <col min="1" max="1" width="15" style="4" customWidth="1"/>
    <col min="2" max="2" width="74" style="4" customWidth="1"/>
    <col min="3" max="5" width="21.42578125" style="4" customWidth="1"/>
    <col min="6" max="6" width="19.5703125" style="237" customWidth="1"/>
    <col min="7" max="7" width="2.42578125" style="4" customWidth="1"/>
    <col min="8" max="9" width="5.140625" style="4" customWidth="1"/>
    <col min="10" max="256" width="11.42578125" style="4"/>
    <col min="257" max="257" width="15" style="4" customWidth="1"/>
    <col min="258" max="258" width="74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15" style="4" customWidth="1"/>
    <col min="514" max="514" width="74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15" style="4" customWidth="1"/>
    <col min="770" max="770" width="74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15" style="4" customWidth="1"/>
    <col min="1026" max="1026" width="74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15" style="4" customWidth="1"/>
    <col min="1282" max="1282" width="74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15" style="4" customWidth="1"/>
    <col min="1538" max="1538" width="74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15" style="4" customWidth="1"/>
    <col min="1794" max="1794" width="74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15" style="4" customWidth="1"/>
    <col min="2050" max="2050" width="74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15" style="4" customWidth="1"/>
    <col min="2306" max="2306" width="74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15" style="4" customWidth="1"/>
    <col min="2562" max="2562" width="74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15" style="4" customWidth="1"/>
    <col min="2818" max="2818" width="74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15" style="4" customWidth="1"/>
    <col min="3074" max="3074" width="74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15" style="4" customWidth="1"/>
    <col min="3330" max="3330" width="74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15" style="4" customWidth="1"/>
    <col min="3586" max="3586" width="74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15" style="4" customWidth="1"/>
    <col min="3842" max="3842" width="74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15" style="4" customWidth="1"/>
    <col min="4098" max="4098" width="74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15" style="4" customWidth="1"/>
    <col min="4354" max="4354" width="74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15" style="4" customWidth="1"/>
    <col min="4610" max="4610" width="74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15" style="4" customWidth="1"/>
    <col min="4866" max="4866" width="74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15" style="4" customWidth="1"/>
    <col min="5122" max="5122" width="74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15" style="4" customWidth="1"/>
    <col min="5378" max="5378" width="74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15" style="4" customWidth="1"/>
    <col min="5634" max="5634" width="74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15" style="4" customWidth="1"/>
    <col min="5890" max="5890" width="74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15" style="4" customWidth="1"/>
    <col min="6146" max="6146" width="74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15" style="4" customWidth="1"/>
    <col min="6402" max="6402" width="74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15" style="4" customWidth="1"/>
    <col min="6658" max="6658" width="74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15" style="4" customWidth="1"/>
    <col min="6914" max="6914" width="74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15" style="4" customWidth="1"/>
    <col min="7170" max="7170" width="74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15" style="4" customWidth="1"/>
    <col min="7426" max="7426" width="74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15" style="4" customWidth="1"/>
    <col min="7682" max="7682" width="74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15" style="4" customWidth="1"/>
    <col min="7938" max="7938" width="74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15" style="4" customWidth="1"/>
    <col min="8194" max="8194" width="74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15" style="4" customWidth="1"/>
    <col min="8450" max="8450" width="74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15" style="4" customWidth="1"/>
    <col min="8706" max="8706" width="74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15" style="4" customWidth="1"/>
    <col min="8962" max="8962" width="74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15" style="4" customWidth="1"/>
    <col min="9218" max="9218" width="74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15" style="4" customWidth="1"/>
    <col min="9474" max="9474" width="74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15" style="4" customWidth="1"/>
    <col min="9730" max="9730" width="74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15" style="4" customWidth="1"/>
    <col min="9986" max="9986" width="74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15" style="4" customWidth="1"/>
    <col min="10242" max="10242" width="74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15" style="4" customWidth="1"/>
    <col min="10498" max="10498" width="74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15" style="4" customWidth="1"/>
    <col min="10754" max="10754" width="74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15" style="4" customWidth="1"/>
    <col min="11010" max="11010" width="74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15" style="4" customWidth="1"/>
    <col min="11266" max="11266" width="74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15" style="4" customWidth="1"/>
    <col min="11522" max="11522" width="74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15" style="4" customWidth="1"/>
    <col min="11778" max="11778" width="74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15" style="4" customWidth="1"/>
    <col min="12034" max="12034" width="74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15" style="4" customWidth="1"/>
    <col min="12290" max="12290" width="74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15" style="4" customWidth="1"/>
    <col min="12546" max="12546" width="74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15" style="4" customWidth="1"/>
    <col min="12802" max="12802" width="74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15" style="4" customWidth="1"/>
    <col min="13058" max="13058" width="74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15" style="4" customWidth="1"/>
    <col min="13314" max="13314" width="74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15" style="4" customWidth="1"/>
    <col min="13570" max="13570" width="74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15" style="4" customWidth="1"/>
    <col min="13826" max="13826" width="74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15" style="4" customWidth="1"/>
    <col min="14082" max="14082" width="74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15" style="4" customWidth="1"/>
    <col min="14338" max="14338" width="74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15" style="4" customWidth="1"/>
    <col min="14594" max="14594" width="74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15" style="4" customWidth="1"/>
    <col min="14850" max="14850" width="74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15" style="4" customWidth="1"/>
    <col min="15106" max="15106" width="74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15" style="4" customWidth="1"/>
    <col min="15362" max="15362" width="74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15" style="4" customWidth="1"/>
    <col min="15618" max="15618" width="74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15" style="4" customWidth="1"/>
    <col min="15874" max="15874" width="74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15" style="4" customWidth="1"/>
    <col min="16130" max="16130" width="74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271" t="s">
        <v>1</v>
      </c>
      <c r="D1" s="272"/>
      <c r="E1" s="273"/>
      <c r="F1" s="3"/>
    </row>
    <row r="2" spans="1:7" ht="12.75" x14ac:dyDescent="0.2">
      <c r="A2" s="1" t="str">
        <f>CONCATENATE("COMUNA: ",[8]NOMBRE!B2," - ","( ",[8]NOMBRE!C2,[8]NOMBRE!D2,[8]NOMBRE!E2,[8]NOMBRE!F2,[8]NOMBRE!G2," )")</f>
        <v>COMUNA: LINARES  - ( 07401 )</v>
      </c>
      <c r="B2" s="2"/>
      <c r="C2" s="268"/>
      <c r="D2" s="269"/>
      <c r="E2" s="270"/>
      <c r="F2" s="5"/>
      <c r="G2" s="6"/>
    </row>
    <row r="3" spans="1:7" ht="12.75" x14ac:dyDescent="0.2">
      <c r="A3" s="1" t="str">
        <f>CONCATENATE("ESTABLECIMIENTO: ",[8]NOMBRE!B3," - ","( ",[8]NOMBRE!C3,[8]NOMBRE!D3,[8]NOMBRE!E3,[8]NOMBRE!F3,[8]NOMBRE!G3," )")</f>
        <v>ESTABLECIMIENTO: HOSPITAL DE LINARES  - ( 16108 )</v>
      </c>
      <c r="B3" s="2"/>
      <c r="C3" s="271" t="s">
        <v>2</v>
      </c>
      <c r="D3" s="272"/>
      <c r="E3" s="273"/>
      <c r="F3" s="5"/>
      <c r="G3" s="7"/>
    </row>
    <row r="4" spans="1:7" ht="12.75" x14ac:dyDescent="0.2">
      <c r="A4" s="1" t="str">
        <f>CONCATENATE("MES: ",[8]NOMBRE!B6," - ","( ",[8]NOMBRE!C6,[8]NOMBRE!D6," )")</f>
        <v>MES: AGOSTO - ( 08 )</v>
      </c>
      <c r="B4" s="2"/>
      <c r="C4" s="268" t="str">
        <f>CONCATENATE([8]NOMBRE!B6," ","( ",[8]NOMBRE!C6,[8]NOMBRE!D6," )")</f>
        <v>AGOSTO ( 08 )</v>
      </c>
      <c r="D4" s="269"/>
      <c r="E4" s="270"/>
      <c r="F4" s="5"/>
      <c r="G4" s="7"/>
    </row>
    <row r="5" spans="1:7" ht="12.75" x14ac:dyDescent="0.2">
      <c r="A5" s="1" t="str">
        <f>CONCATENATE("AÑO: ",[8]NOMBRE!B7)</f>
        <v>AÑO: 2011</v>
      </c>
      <c r="B5" s="2"/>
      <c r="C5" s="271" t="s">
        <v>3</v>
      </c>
      <c r="D5" s="272"/>
      <c r="E5" s="273"/>
      <c r="F5" s="5"/>
      <c r="G5" s="7"/>
    </row>
    <row r="6" spans="1:7" ht="12.75" x14ac:dyDescent="0.2">
      <c r="A6" s="8"/>
      <c r="B6" s="8"/>
      <c r="C6" s="268">
        <f>[8]NOMBRE!B7</f>
        <v>2011</v>
      </c>
      <c r="D6" s="269"/>
      <c r="E6" s="270"/>
      <c r="F6" s="5"/>
      <c r="G6" s="7"/>
    </row>
    <row r="7" spans="1:7" ht="12.75" x14ac:dyDescent="0.2">
      <c r="A7" s="263" t="s">
        <v>4</v>
      </c>
      <c r="B7" s="264"/>
      <c r="C7" s="265" t="s">
        <v>5</v>
      </c>
      <c r="D7" s="266"/>
      <c r="E7" s="267"/>
      <c r="F7" s="5"/>
      <c r="G7" s="7"/>
    </row>
    <row r="8" spans="1:7" ht="12.75" x14ac:dyDescent="0.2">
      <c r="A8" s="8"/>
      <c r="B8" s="9" t="s">
        <v>6</v>
      </c>
      <c r="C8" s="268" t="str">
        <f>CONCATENATE([8]NOMBRE!B3," ","( ",[8]NOMBRE!C3,[8]NOMBRE!D3,[8]NOMBRE!E3,[8]NOMBRE!F3,[8]NOMBRE!G3," )")</f>
        <v>HOSPITAL DE LINARES  ( 16108 )</v>
      </c>
      <c r="D8" s="269"/>
      <c r="E8" s="270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256" t="s">
        <v>7</v>
      </c>
      <c r="B11" s="252"/>
      <c r="C11" s="252"/>
      <c r="D11" s="252"/>
      <c r="E11" s="253"/>
      <c r="F11" s="5"/>
    </row>
    <row r="12" spans="1:7" ht="43.5" customHeight="1" x14ac:dyDescent="0.2">
      <c r="A12" s="11" t="s">
        <v>8</v>
      </c>
      <c r="B12" s="11" t="s">
        <v>9</v>
      </c>
      <c r="C12" s="12" t="s">
        <v>10</v>
      </c>
      <c r="D12" s="13" t="s">
        <v>11</v>
      </c>
      <c r="E12" s="14" t="s">
        <v>12</v>
      </c>
      <c r="F12" s="8"/>
    </row>
    <row r="13" spans="1:7" ht="12.75" customHeight="1" x14ac:dyDescent="0.2">
      <c r="A13" s="242" t="s">
        <v>13</v>
      </c>
      <c r="B13" s="243"/>
      <c r="C13" s="243"/>
      <c r="D13" s="243"/>
      <c r="E13" s="244"/>
      <c r="F13" s="8"/>
    </row>
    <row r="14" spans="1:7" ht="15" customHeight="1" x14ac:dyDescent="0.2">
      <c r="A14" s="17" t="s">
        <v>14</v>
      </c>
      <c r="B14" s="18" t="s">
        <v>15</v>
      </c>
      <c r="C14" s="19">
        <f>[8]BS17A!$D13</f>
        <v>0</v>
      </c>
      <c r="D14" s="20">
        <f>[8]BS17A!$U13</f>
        <v>3830</v>
      </c>
      <c r="E14" s="21">
        <f>[8]BS17A!$V13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24">
        <f>[8]BS17A!$D14</f>
        <v>0</v>
      </c>
      <c r="D15" s="25">
        <f>[8]BS17A!$U14</f>
        <v>4820</v>
      </c>
      <c r="E15" s="26">
        <f>[8]BS17A!$V14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24">
        <f>[8]BS17A!$D15</f>
        <v>7869</v>
      </c>
      <c r="D16" s="25">
        <f>[8]BS17A!$U15</f>
        <v>10320</v>
      </c>
      <c r="E16" s="26">
        <f>[8]BS17A!$V15</f>
        <v>81208080</v>
      </c>
      <c r="F16" s="8"/>
    </row>
    <row r="17" spans="1:6" ht="15" customHeight="1" x14ac:dyDescent="0.2">
      <c r="A17" s="22" t="s">
        <v>20</v>
      </c>
      <c r="B17" s="23" t="s">
        <v>21</v>
      </c>
      <c r="C17" s="24">
        <f>[8]BS17A!$D16</f>
        <v>0</v>
      </c>
      <c r="D17" s="25">
        <f>[8]BS17A!$U16</f>
        <v>6170</v>
      </c>
      <c r="E17" s="26">
        <f>[8]BS17A!$V16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24">
        <f>[8]BS17A!$D17</f>
        <v>0</v>
      </c>
      <c r="D18" s="25">
        <f>[8]BS17A!$U17</f>
        <v>6770</v>
      </c>
      <c r="E18" s="26">
        <f>[8]BS17A!$V17</f>
        <v>0</v>
      </c>
      <c r="F18" s="8"/>
    </row>
    <row r="19" spans="1:6" ht="33" customHeight="1" x14ac:dyDescent="0.2">
      <c r="A19" s="22" t="s">
        <v>24</v>
      </c>
      <c r="B19" s="27" t="s">
        <v>25</v>
      </c>
      <c r="C19" s="24">
        <f>[8]BS17A!$D20</f>
        <v>0</v>
      </c>
      <c r="D19" s="25">
        <f>[8]BS17A!$U20</f>
        <v>5210</v>
      </c>
      <c r="E19" s="26">
        <f>[8]BS17A!$V20</f>
        <v>0</v>
      </c>
      <c r="F19" s="8"/>
    </row>
    <row r="20" spans="1:6" ht="42.75" customHeight="1" x14ac:dyDescent="0.2">
      <c r="A20" s="22" t="s">
        <v>26</v>
      </c>
      <c r="B20" s="27" t="s">
        <v>27</v>
      </c>
      <c r="C20" s="24">
        <f>[8]BS17A!$D21</f>
        <v>0</v>
      </c>
      <c r="D20" s="25">
        <f>[8]BS17A!$U21</f>
        <v>6250</v>
      </c>
      <c r="E20" s="26">
        <f>[8]BS17A!$V21</f>
        <v>0</v>
      </c>
      <c r="F20" s="8"/>
    </row>
    <row r="21" spans="1:6" ht="42.75" customHeight="1" x14ac:dyDescent="0.2">
      <c r="A21" s="22" t="s">
        <v>28</v>
      </c>
      <c r="B21" s="27" t="s">
        <v>29</v>
      </c>
      <c r="C21" s="24">
        <f>[8]BS17A!$D22</f>
        <v>0</v>
      </c>
      <c r="D21" s="25">
        <f>[8]BS17A!$U22</f>
        <v>7760</v>
      </c>
      <c r="E21" s="26">
        <f>[8]BS17A!$V22</f>
        <v>0</v>
      </c>
      <c r="F21" s="8"/>
    </row>
    <row r="22" spans="1:6" ht="32.25" customHeight="1" x14ac:dyDescent="0.2">
      <c r="A22" s="22" t="s">
        <v>30</v>
      </c>
      <c r="B22" s="27" t="s">
        <v>31</v>
      </c>
      <c r="C22" s="24">
        <f>[8]BS17A!$D23</f>
        <v>1541</v>
      </c>
      <c r="D22" s="25">
        <f>[8]BS17A!$U23</f>
        <v>5210</v>
      </c>
      <c r="E22" s="26">
        <f>[8]BS17A!$V23</f>
        <v>8028610</v>
      </c>
      <c r="F22" s="8"/>
    </row>
    <row r="23" spans="1:6" ht="40.5" customHeight="1" x14ac:dyDescent="0.2">
      <c r="A23" s="22" t="s">
        <v>32</v>
      </c>
      <c r="B23" s="27" t="s">
        <v>33</v>
      </c>
      <c r="C23" s="24">
        <f>[8]BS17A!$D24</f>
        <v>744</v>
      </c>
      <c r="D23" s="25">
        <f>[8]BS17A!$U24</f>
        <v>6250</v>
      </c>
      <c r="E23" s="26">
        <f>[8]BS17A!$V24</f>
        <v>4650000</v>
      </c>
      <c r="F23" s="8"/>
    </row>
    <row r="24" spans="1:6" ht="27" customHeight="1" x14ac:dyDescent="0.2">
      <c r="A24" s="22" t="s">
        <v>34</v>
      </c>
      <c r="B24" s="27" t="s">
        <v>35</v>
      </c>
      <c r="C24" s="24">
        <f>[8]BS17A!$D25</f>
        <v>2081</v>
      </c>
      <c r="D24" s="25">
        <f>[8]BS17A!$U25</f>
        <v>7760</v>
      </c>
      <c r="E24" s="26">
        <f>[8]BS17A!$V25</f>
        <v>16148560</v>
      </c>
      <c r="F24" s="8"/>
    </row>
    <row r="25" spans="1:6" ht="15" customHeight="1" x14ac:dyDescent="0.2">
      <c r="A25" s="22" t="s">
        <v>36</v>
      </c>
      <c r="B25" s="28" t="s">
        <v>37</v>
      </c>
      <c r="C25" s="24">
        <f>+[8]BS17A!$D791</f>
        <v>175</v>
      </c>
      <c r="D25" s="25">
        <f>+[8]BS17A!$U791</f>
        <v>6330</v>
      </c>
      <c r="E25" s="26">
        <f>+[8]BS17A!$V791</f>
        <v>1107750</v>
      </c>
      <c r="F25" s="8"/>
    </row>
    <row r="26" spans="1:6" ht="15" customHeight="1" x14ac:dyDescent="0.2">
      <c r="A26" s="29" t="s">
        <v>38</v>
      </c>
      <c r="B26" s="30" t="s">
        <v>39</v>
      </c>
      <c r="C26" s="31">
        <f>+[8]BS17A!$D796</f>
        <v>0</v>
      </c>
      <c r="D26" s="32">
        <f>+[8]BS17A!$U796</f>
        <v>26240</v>
      </c>
      <c r="E26" s="33">
        <f>+[8]BS17A!$V796</f>
        <v>0</v>
      </c>
      <c r="F26" s="8"/>
    </row>
    <row r="27" spans="1:6" ht="18" customHeight="1" x14ac:dyDescent="0.2">
      <c r="A27" s="242" t="s">
        <v>40</v>
      </c>
      <c r="B27" s="243"/>
      <c r="C27" s="243"/>
      <c r="D27" s="243"/>
      <c r="E27" s="244"/>
      <c r="F27" s="8"/>
    </row>
    <row r="28" spans="1:6" ht="15" customHeight="1" x14ac:dyDescent="0.2">
      <c r="A28" s="17" t="s">
        <v>41</v>
      </c>
      <c r="B28" s="18" t="s">
        <v>42</v>
      </c>
      <c r="C28" s="19">
        <f>[8]BS17A!$D27</f>
        <v>1637</v>
      </c>
      <c r="D28" s="20">
        <f>[8]BS17A!$U27</f>
        <v>1020</v>
      </c>
      <c r="E28" s="21">
        <f>[8]BS17A!$V27</f>
        <v>1669740</v>
      </c>
      <c r="F28" s="8"/>
    </row>
    <row r="29" spans="1:6" ht="15" customHeight="1" x14ac:dyDescent="0.2">
      <c r="A29" s="22" t="s">
        <v>43</v>
      </c>
      <c r="B29" s="34" t="s">
        <v>44</v>
      </c>
      <c r="C29" s="24">
        <f>[8]BS17A!$D28</f>
        <v>0</v>
      </c>
      <c r="D29" s="25">
        <f>[8]BS17A!$U28</f>
        <v>1740</v>
      </c>
      <c r="E29" s="26">
        <f>[8]BS17A!$V28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24">
        <f>[8]BS17A!$D29</f>
        <v>0</v>
      </c>
      <c r="D30" s="25">
        <f>[8]BS17A!$U29</f>
        <v>550</v>
      </c>
      <c r="E30" s="26">
        <f>[8]BS17A!$V29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24">
        <f>[8]BS17A!$D30</f>
        <v>26</v>
      </c>
      <c r="D31" s="25">
        <f>[8]BS17A!$U30</f>
        <v>1380</v>
      </c>
      <c r="E31" s="26">
        <f>[8]BS17A!$V30</f>
        <v>35880</v>
      </c>
      <c r="F31" s="8"/>
    </row>
    <row r="32" spans="1:6" ht="15" customHeight="1" x14ac:dyDescent="0.2">
      <c r="A32" s="22" t="s">
        <v>49</v>
      </c>
      <c r="B32" s="23" t="s">
        <v>50</v>
      </c>
      <c r="C32" s="24">
        <f>[8]BS17A!$D31</f>
        <v>1294</v>
      </c>
      <c r="D32" s="25">
        <f>[8]BS17A!$U31</f>
        <v>1110</v>
      </c>
      <c r="E32" s="26">
        <f>[8]BS17A!$V31</f>
        <v>1436340</v>
      </c>
      <c r="F32" s="8"/>
    </row>
    <row r="33" spans="1:6" ht="15" customHeight="1" x14ac:dyDescent="0.2">
      <c r="A33" s="22" t="s">
        <v>51</v>
      </c>
      <c r="B33" s="34" t="s">
        <v>52</v>
      </c>
      <c r="C33" s="24">
        <f>[8]BS17A!$D32</f>
        <v>0</v>
      </c>
      <c r="D33" s="25">
        <f>[8]BS17A!$U32</f>
        <v>1020</v>
      </c>
      <c r="E33" s="26">
        <f>[8]BS17A!$V32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24">
        <f>+[8]BS17A!$D792</f>
        <v>0</v>
      </c>
      <c r="D34" s="25">
        <f>+[8]BS17A!$U792</f>
        <v>2480</v>
      </c>
      <c r="E34" s="26">
        <f>+[8]BS17A!$V792</f>
        <v>0</v>
      </c>
      <c r="F34" s="8"/>
    </row>
    <row r="35" spans="1:6" ht="15" customHeight="1" x14ac:dyDescent="0.2">
      <c r="A35" s="22" t="s">
        <v>55</v>
      </c>
      <c r="B35" s="34" t="s">
        <v>56</v>
      </c>
      <c r="C35" s="24">
        <f>+[8]BS17A!$D793</f>
        <v>600</v>
      </c>
      <c r="D35" s="25">
        <f>+[8]BS17A!$U793</f>
        <v>2480</v>
      </c>
      <c r="E35" s="26">
        <f>+[8]BS17A!$V793</f>
        <v>1488000</v>
      </c>
      <c r="F35" s="8"/>
    </row>
    <row r="36" spans="1:6" ht="15" customHeight="1" x14ac:dyDescent="0.2">
      <c r="A36" s="22" t="s">
        <v>57</v>
      </c>
      <c r="B36" s="34" t="s">
        <v>58</v>
      </c>
      <c r="C36" s="24">
        <f>+[8]BS17A!$D794</f>
        <v>3</v>
      </c>
      <c r="D36" s="25">
        <f>+[8]BS17A!$U794</f>
        <v>9880</v>
      </c>
      <c r="E36" s="26">
        <f>+[8]BS17A!$V794</f>
        <v>29640</v>
      </c>
      <c r="F36" s="8"/>
    </row>
    <row r="37" spans="1:6" ht="15" customHeight="1" x14ac:dyDescent="0.2">
      <c r="A37" s="29" t="s">
        <v>59</v>
      </c>
      <c r="B37" s="35" t="s">
        <v>60</v>
      </c>
      <c r="C37" s="31">
        <f>+[8]BS17A!$D795</f>
        <v>19</v>
      </c>
      <c r="D37" s="32">
        <f>+[8]BS17A!$U795</f>
        <v>11570</v>
      </c>
      <c r="E37" s="33">
        <f>+[8]BS17A!$V795</f>
        <v>219830</v>
      </c>
      <c r="F37" s="8"/>
    </row>
    <row r="38" spans="1:6" ht="18" customHeight="1" x14ac:dyDescent="0.2">
      <c r="A38" s="251" t="s">
        <v>61</v>
      </c>
      <c r="B38" s="254"/>
      <c r="C38" s="254"/>
      <c r="D38" s="254"/>
      <c r="E38" s="255"/>
      <c r="F38" s="8"/>
    </row>
    <row r="39" spans="1:6" ht="15" customHeight="1" x14ac:dyDescent="0.2">
      <c r="A39" s="17" t="s">
        <v>62</v>
      </c>
      <c r="B39" s="36" t="s">
        <v>63</v>
      </c>
      <c r="C39" s="19">
        <f>+[8]BS17A!$D797</f>
        <v>0</v>
      </c>
      <c r="D39" s="37">
        <f>+[8]BS17A!$U797</f>
        <v>2882</v>
      </c>
      <c r="E39" s="38">
        <f>+[8]BS17A!$V797</f>
        <v>0</v>
      </c>
      <c r="F39" s="8"/>
    </row>
    <row r="40" spans="1:6" ht="15" customHeight="1" x14ac:dyDescent="0.2">
      <c r="A40" s="29" t="s">
        <v>64</v>
      </c>
      <c r="B40" s="39" t="s">
        <v>65</v>
      </c>
      <c r="C40" s="31">
        <f>+[8]BS17A!$D798</f>
        <v>0</v>
      </c>
      <c r="D40" s="40">
        <f>+[8]BS17A!$U798</f>
        <v>6766</v>
      </c>
      <c r="E40" s="41">
        <f>+[8]BS17A!$V798</f>
        <v>0</v>
      </c>
      <c r="F40" s="8"/>
    </row>
    <row r="41" spans="1:6" ht="18" customHeight="1" x14ac:dyDescent="0.2">
      <c r="A41" s="251" t="s">
        <v>66</v>
      </c>
      <c r="B41" s="254"/>
      <c r="C41" s="254"/>
      <c r="D41" s="254"/>
      <c r="E41" s="255"/>
      <c r="F41" s="8"/>
    </row>
    <row r="42" spans="1:6" ht="15" customHeight="1" x14ac:dyDescent="0.2">
      <c r="A42" s="17" t="s">
        <v>67</v>
      </c>
      <c r="B42" s="42" t="s">
        <v>68</v>
      </c>
      <c r="C42" s="19">
        <f>+[8]BS17A!$D34</f>
        <v>0</v>
      </c>
      <c r="D42" s="37">
        <f>+[8]BS17A!$U34</f>
        <v>3340</v>
      </c>
      <c r="E42" s="38">
        <f>+[8]BS17A!$V34</f>
        <v>0</v>
      </c>
      <c r="F42" s="8"/>
    </row>
    <row r="43" spans="1:6" ht="15" customHeight="1" x14ac:dyDescent="0.2">
      <c r="A43" s="22" t="s">
        <v>69</v>
      </c>
      <c r="B43" s="23" t="s">
        <v>70</v>
      </c>
      <c r="C43" s="24">
        <f>+[8]BS17A!$D35</f>
        <v>952</v>
      </c>
      <c r="D43" s="25">
        <f>+[8]BS17A!$U35</f>
        <v>1840</v>
      </c>
      <c r="E43" s="26">
        <f>+[8]BS17A!$V35</f>
        <v>1751680</v>
      </c>
      <c r="F43" s="8"/>
    </row>
    <row r="44" spans="1:6" ht="15" customHeight="1" x14ac:dyDescent="0.2">
      <c r="A44" s="22" t="s">
        <v>71</v>
      </c>
      <c r="B44" s="23" t="s">
        <v>72</v>
      </c>
      <c r="C44" s="24">
        <f>+[8]BS17A!$D36</f>
        <v>3</v>
      </c>
      <c r="D44" s="25">
        <f>+[8]BS17A!$U36</f>
        <v>1840</v>
      </c>
      <c r="E44" s="26">
        <f>+[8]BS17A!$V36</f>
        <v>5520</v>
      </c>
      <c r="F44" s="8"/>
    </row>
    <row r="45" spans="1:6" ht="15" customHeight="1" x14ac:dyDescent="0.2">
      <c r="A45" s="29" t="s">
        <v>73</v>
      </c>
      <c r="B45" s="43" t="s">
        <v>74</v>
      </c>
      <c r="C45" s="31">
        <f>+[8]BS17A!$D37</f>
        <v>460</v>
      </c>
      <c r="D45" s="40">
        <f>+[8]BS17A!$U37</f>
        <v>550</v>
      </c>
      <c r="E45" s="41">
        <f>+[8]BS17A!$V37</f>
        <v>253000</v>
      </c>
      <c r="F45" s="8"/>
    </row>
    <row r="46" spans="1:6" ht="18" customHeight="1" x14ac:dyDescent="0.2">
      <c r="A46" s="251" t="s">
        <v>75</v>
      </c>
      <c r="B46" s="254"/>
      <c r="C46" s="254"/>
      <c r="D46" s="254"/>
      <c r="E46" s="255"/>
      <c r="F46" s="8"/>
    </row>
    <row r="47" spans="1:6" ht="15" customHeight="1" x14ac:dyDescent="0.2">
      <c r="A47" s="17" t="s">
        <v>76</v>
      </c>
      <c r="B47" s="42" t="s">
        <v>77</v>
      </c>
      <c r="C47" s="19">
        <f>+[8]BS17A!$D39</f>
        <v>11</v>
      </c>
      <c r="D47" s="37">
        <f>+[8]BS17A!$U39</f>
        <v>1590</v>
      </c>
      <c r="E47" s="38">
        <f>+[8]BS17A!$V39</f>
        <v>17490</v>
      </c>
      <c r="F47" s="8"/>
    </row>
    <row r="48" spans="1:6" ht="15" customHeight="1" x14ac:dyDescent="0.2">
      <c r="A48" s="22" t="s">
        <v>78</v>
      </c>
      <c r="B48" s="23" t="s">
        <v>79</v>
      </c>
      <c r="C48" s="24">
        <f>+[8]BS17A!$D40</f>
        <v>17</v>
      </c>
      <c r="D48" s="25">
        <f>+[8]BS17A!$U40</f>
        <v>1590</v>
      </c>
      <c r="E48" s="26">
        <f>+[8]BS17A!$V40</f>
        <v>27030</v>
      </c>
      <c r="F48" s="8"/>
    </row>
    <row r="49" spans="1:7" ht="15" customHeight="1" x14ac:dyDescent="0.2">
      <c r="A49" s="29" t="s">
        <v>80</v>
      </c>
      <c r="B49" s="43" t="s">
        <v>81</v>
      </c>
      <c r="C49" s="31">
        <f>+[8]BS17A!$D41</f>
        <v>0</v>
      </c>
      <c r="D49" s="40">
        <f>+[8]BS17A!$U41</f>
        <v>910</v>
      </c>
      <c r="E49" s="41">
        <f>+[8]BS17A!$V41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17432</v>
      </c>
      <c r="D50" s="46"/>
      <c r="E50" s="47">
        <f>SUM(E14:E49)</f>
        <v>118077150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251" t="s">
        <v>83</v>
      </c>
      <c r="B53" s="254"/>
      <c r="C53" s="254"/>
      <c r="D53" s="254"/>
      <c r="E53" s="255"/>
      <c r="F53" s="51"/>
      <c r="G53" s="52"/>
    </row>
    <row r="54" spans="1:7" ht="38.25" x14ac:dyDescent="0.2">
      <c r="A54" s="11" t="s">
        <v>8</v>
      </c>
      <c r="B54" s="11" t="s">
        <v>84</v>
      </c>
      <c r="C54" s="12" t="s">
        <v>10</v>
      </c>
      <c r="D54" s="53"/>
      <c r="E54" s="14" t="s">
        <v>12</v>
      </c>
      <c r="F54" s="8"/>
    </row>
    <row r="55" spans="1:7" ht="18" customHeight="1" x14ac:dyDescent="0.2">
      <c r="A55" s="54" t="s">
        <v>85</v>
      </c>
      <c r="B55" s="55" t="s">
        <v>86</v>
      </c>
      <c r="C55" s="56">
        <f>+[8]BS17!$D12</f>
        <v>50260</v>
      </c>
      <c r="D55" s="57"/>
      <c r="E55" s="58">
        <f>+E56+E57+E58+E59+E60+E61+E65+E66+E67</f>
        <v>64969030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+[8]BS17!$D13</f>
        <v>20390</v>
      </c>
      <c r="D56" s="61"/>
      <c r="E56" s="62">
        <f>+[8]BS17A!V83</f>
        <v>20354520</v>
      </c>
      <c r="F56" s="8"/>
    </row>
    <row r="57" spans="1:7" ht="15" customHeight="1" x14ac:dyDescent="0.2">
      <c r="A57" s="22" t="s">
        <v>89</v>
      </c>
      <c r="B57" s="28" t="s">
        <v>90</v>
      </c>
      <c r="C57" s="24">
        <f>+[8]BS17!$D14</f>
        <v>20394</v>
      </c>
      <c r="D57" s="63"/>
      <c r="E57" s="64">
        <f>+[8]BS17A!V174</f>
        <v>21992290</v>
      </c>
      <c r="F57" s="8"/>
    </row>
    <row r="58" spans="1:7" ht="15" customHeight="1" x14ac:dyDescent="0.2">
      <c r="A58" s="22" t="s">
        <v>91</v>
      </c>
      <c r="B58" s="28" t="s">
        <v>92</v>
      </c>
      <c r="C58" s="24">
        <f>+[8]BS17!$D15</f>
        <v>1059</v>
      </c>
      <c r="D58" s="63"/>
      <c r="E58" s="64">
        <f>+[8]BS17A!V243</f>
        <v>3372690</v>
      </c>
      <c r="F58" s="8"/>
    </row>
    <row r="59" spans="1:7" ht="15" customHeight="1" x14ac:dyDescent="0.2">
      <c r="A59" s="22" t="s">
        <v>93</v>
      </c>
      <c r="B59" s="28" t="s">
        <v>94</v>
      </c>
      <c r="C59" s="24">
        <f>+[8]BS17!$D16</f>
        <v>0</v>
      </c>
      <c r="D59" s="63"/>
      <c r="E59" s="64">
        <f>+[8]BS17A!V289</f>
        <v>0</v>
      </c>
      <c r="F59" s="8"/>
    </row>
    <row r="60" spans="1:7" ht="15" customHeight="1" x14ac:dyDescent="0.2">
      <c r="A60" s="65" t="s">
        <v>95</v>
      </c>
      <c r="B60" s="30" t="s">
        <v>96</v>
      </c>
      <c r="C60" s="66">
        <f>+[8]BS17!$D17</f>
        <v>1233</v>
      </c>
      <c r="D60" s="67"/>
      <c r="E60" s="68">
        <f>+[8]BS17A!V295</f>
        <v>5247120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+[8]BS17!$D18</f>
        <v>4678</v>
      </c>
      <c r="D61" s="71"/>
      <c r="E61" s="72">
        <f>SUM(E62:E64)</f>
        <v>11187030</v>
      </c>
      <c r="F61" s="8"/>
    </row>
    <row r="62" spans="1:7" ht="15" customHeight="1" x14ac:dyDescent="0.2">
      <c r="A62" s="73"/>
      <c r="B62" s="42" t="s">
        <v>99</v>
      </c>
      <c r="C62" s="19">
        <f>+[8]BS17!$D19</f>
        <v>3886</v>
      </c>
      <c r="D62" s="74"/>
      <c r="E62" s="75">
        <f>+[8]BS17A!V362</f>
        <v>8350850</v>
      </c>
      <c r="F62" s="8"/>
    </row>
    <row r="63" spans="1:7" ht="15" customHeight="1" x14ac:dyDescent="0.2">
      <c r="A63" s="73"/>
      <c r="B63" s="28" t="s">
        <v>100</v>
      </c>
      <c r="C63" s="24">
        <f>+[8]BS17!$D20</f>
        <v>94</v>
      </c>
      <c r="D63" s="63"/>
      <c r="E63" s="64">
        <f>+[8]BS17A!V405</f>
        <v>226010</v>
      </c>
      <c r="F63" s="8"/>
    </row>
    <row r="64" spans="1:7" ht="15" customHeight="1" x14ac:dyDescent="0.2">
      <c r="A64" s="76"/>
      <c r="B64" s="43" t="s">
        <v>101</v>
      </c>
      <c r="C64" s="31">
        <f>+[8]BS17!$D21</f>
        <v>698</v>
      </c>
      <c r="D64" s="77"/>
      <c r="E64" s="78">
        <f>+[8]BS17A!V428</f>
        <v>2610170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+[8]BS17!$D22</f>
        <v>0</v>
      </c>
      <c r="D65" s="61"/>
      <c r="E65" s="62">
        <f>+[8]BS17A!V446</f>
        <v>0</v>
      </c>
      <c r="F65" s="8"/>
    </row>
    <row r="66" spans="1:7" ht="15" customHeight="1" x14ac:dyDescent="0.2">
      <c r="A66" s="22" t="s">
        <v>104</v>
      </c>
      <c r="B66" s="28" t="s">
        <v>105</v>
      </c>
      <c r="C66" s="24">
        <f>+[8]BS17!$D23</f>
        <v>81</v>
      </c>
      <c r="D66" s="63"/>
      <c r="E66" s="64">
        <f>+[8]BS17A!V456</f>
        <v>161270</v>
      </c>
      <c r="F66" s="8"/>
    </row>
    <row r="67" spans="1:7" ht="15" customHeight="1" x14ac:dyDescent="0.2">
      <c r="A67" s="65" t="s">
        <v>106</v>
      </c>
      <c r="B67" s="30" t="s">
        <v>107</v>
      </c>
      <c r="C67" s="66">
        <f>+[8]BS17!$D24</f>
        <v>2425</v>
      </c>
      <c r="D67" s="67"/>
      <c r="E67" s="68">
        <f>+[8]BS17A!V500</f>
        <v>2654110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+[8]BS17!$D25</f>
        <v>4130</v>
      </c>
      <c r="D68" s="83"/>
      <c r="E68" s="84">
        <f>SUM(E69:E74)</f>
        <v>52547830</v>
      </c>
      <c r="F68" s="8"/>
    </row>
    <row r="69" spans="1:7" ht="15" customHeight="1" x14ac:dyDescent="0.2">
      <c r="A69" s="22" t="s">
        <v>110</v>
      </c>
      <c r="B69" s="28" t="s">
        <v>111</v>
      </c>
      <c r="C69" s="24">
        <f>+[8]BS17!$D26</f>
        <v>2681</v>
      </c>
      <c r="D69" s="63"/>
      <c r="E69" s="64">
        <f>+[8]BS17A!V535</f>
        <v>19463770</v>
      </c>
      <c r="F69" s="8"/>
    </row>
    <row r="70" spans="1:7" ht="15" customHeight="1" x14ac:dyDescent="0.2">
      <c r="A70" s="22" t="s">
        <v>112</v>
      </c>
      <c r="B70" s="28" t="s">
        <v>113</v>
      </c>
      <c r="C70" s="24">
        <f>+[8]BS17!$D27</f>
        <v>4</v>
      </c>
      <c r="D70" s="63"/>
      <c r="E70" s="64">
        <f>+[8]BS17A!V590</f>
        <v>72520</v>
      </c>
      <c r="F70" s="8"/>
    </row>
    <row r="71" spans="1:7" ht="15" customHeight="1" x14ac:dyDescent="0.2">
      <c r="A71" s="22" t="s">
        <v>114</v>
      </c>
      <c r="B71" s="28" t="s">
        <v>115</v>
      </c>
      <c r="C71" s="24">
        <f>+[8]BS17!$D28</f>
        <v>383</v>
      </c>
      <c r="D71" s="63"/>
      <c r="E71" s="64">
        <f>+[8]BS17A!V615</f>
        <v>18096930</v>
      </c>
      <c r="F71" s="8"/>
    </row>
    <row r="72" spans="1:7" ht="15" customHeight="1" x14ac:dyDescent="0.2">
      <c r="A72" s="22" t="s">
        <v>116</v>
      </c>
      <c r="B72" s="28" t="s">
        <v>117</v>
      </c>
      <c r="C72" s="24">
        <f>+[8]BS17!$D30+[8]BS17!$D32</f>
        <v>1062</v>
      </c>
      <c r="D72" s="63"/>
      <c r="E72" s="64">
        <f>+[8]BS17A!V633-[8]BS17A!V634</f>
        <v>14914610</v>
      </c>
      <c r="F72" s="8"/>
    </row>
    <row r="73" spans="1:7" ht="15" customHeight="1" x14ac:dyDescent="0.2">
      <c r="A73" s="85"/>
      <c r="B73" s="28" t="s">
        <v>118</v>
      </c>
      <c r="C73" s="24">
        <f>+[8]BS17!$D31</f>
        <v>0</v>
      </c>
      <c r="D73" s="63"/>
      <c r="E73" s="64">
        <f>+[8]BS17A!V634</f>
        <v>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+[8]BS17!$D33</f>
        <v>0</v>
      </c>
      <c r="D74" s="89"/>
      <c r="E74" s="90">
        <f>+[8]BS17A!V654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+[8]BS17!$D34</f>
        <v>0</v>
      </c>
      <c r="D75" s="94"/>
      <c r="E75" s="95">
        <f>+[8]BS17A!V779</f>
        <v>0</v>
      </c>
      <c r="F75" s="8"/>
    </row>
    <row r="76" spans="1:7" ht="15" customHeight="1" x14ac:dyDescent="0.2">
      <c r="A76" s="96"/>
      <c r="B76" s="97" t="s">
        <v>123</v>
      </c>
      <c r="C76" s="56">
        <f>+C55+C68+C75</f>
        <v>54390</v>
      </c>
      <c r="D76" s="57"/>
      <c r="E76" s="98">
        <f>+E55+E68+E75</f>
        <v>117516860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256" t="s">
        <v>124</v>
      </c>
      <c r="B79" s="252"/>
      <c r="C79" s="252"/>
      <c r="D79" s="252"/>
      <c r="E79" s="253"/>
      <c r="F79" s="51"/>
      <c r="G79" s="52"/>
    </row>
    <row r="80" spans="1:7" ht="38.25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19">
        <f>+[8]BS17!D49</f>
        <v>0</v>
      </c>
      <c r="D81" s="61"/>
      <c r="E81" s="103">
        <f>+SUM([8]BS17A!V670+[8]BS17A!V697+[8]BS17A!V716+[8]BS17A!V723+[8]BS17A!V726+[8]BS17A!V743+[8]BS17A!V760)</f>
        <v>0</v>
      </c>
      <c r="F81" s="8"/>
    </row>
    <row r="82" spans="1:6" ht="15" customHeight="1" x14ac:dyDescent="0.2">
      <c r="A82" s="104">
        <v>2001</v>
      </c>
      <c r="B82" s="28" t="s">
        <v>127</v>
      </c>
      <c r="C82" s="24">
        <f>+[8]BS17!E120</f>
        <v>1224</v>
      </c>
      <c r="D82" s="63"/>
      <c r="E82" s="105">
        <f>+[8]BS17A!V1562</f>
        <v>10178510</v>
      </c>
      <c r="F82" s="8"/>
    </row>
    <row r="83" spans="1:6" ht="15" customHeight="1" x14ac:dyDescent="0.2">
      <c r="A83" s="65" t="s">
        <v>128</v>
      </c>
      <c r="B83" s="30" t="s">
        <v>129</v>
      </c>
      <c r="C83" s="66">
        <f>+[8]BS17A!D1837</f>
        <v>47</v>
      </c>
      <c r="D83" s="67"/>
      <c r="E83" s="106">
        <f>+[8]BS17A!V1837</f>
        <v>2778260</v>
      </c>
      <c r="F83" s="8"/>
    </row>
    <row r="84" spans="1:6" ht="17.25" customHeight="1" x14ac:dyDescent="0.2">
      <c r="A84" s="96"/>
      <c r="B84" s="97" t="s">
        <v>130</v>
      </c>
      <c r="C84" s="56">
        <f>+SUM(C81:C83)</f>
        <v>1271</v>
      </c>
      <c r="D84" s="57"/>
      <c r="E84" s="107">
        <f>SUM(E81:E83)</f>
        <v>12956770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239" t="s">
        <v>131</v>
      </c>
      <c r="B87" s="240"/>
      <c r="C87" s="240"/>
      <c r="D87" s="240"/>
      <c r="E87" s="240"/>
      <c r="F87" s="241"/>
    </row>
    <row r="88" spans="1:6" ht="33.75" customHeight="1" x14ac:dyDescent="0.15">
      <c r="A88" s="260" t="s">
        <v>8</v>
      </c>
      <c r="B88" s="260" t="s">
        <v>9</v>
      </c>
      <c r="C88" s="242" t="s">
        <v>10</v>
      </c>
      <c r="D88" s="243"/>
      <c r="E88" s="243"/>
      <c r="F88" s="244"/>
    </row>
    <row r="89" spans="1:6" ht="35.25" customHeight="1" x14ac:dyDescent="0.15">
      <c r="A89" s="261"/>
      <c r="B89" s="261"/>
      <c r="C89" s="99" t="s">
        <v>132</v>
      </c>
      <c r="D89" s="108" t="s">
        <v>133</v>
      </c>
      <c r="E89" s="13" t="s">
        <v>134</v>
      </c>
      <c r="F89" s="1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+[8]BS17!F66</f>
        <v>0</v>
      </c>
      <c r="D90" s="110">
        <f>+[8]BS17!G66</f>
        <v>0</v>
      </c>
      <c r="E90" s="111">
        <f>+[8]BS17!H66</f>
        <v>0</v>
      </c>
      <c r="F90" s="112">
        <f>[8]BS17A!V807</f>
        <v>0</v>
      </c>
    </row>
    <row r="91" spans="1:6" ht="15" customHeight="1" x14ac:dyDescent="0.2">
      <c r="A91" s="22" t="s">
        <v>137</v>
      </c>
      <c r="B91" s="28" t="s">
        <v>138</v>
      </c>
      <c r="C91" s="113">
        <f>+[8]BS17!F67</f>
        <v>75</v>
      </c>
      <c r="D91" s="114">
        <f>+[8]BS17!G67</f>
        <v>0</v>
      </c>
      <c r="E91" s="115">
        <f>+[8]BS17!H67</f>
        <v>0</v>
      </c>
      <c r="F91" s="116">
        <f>[8]BS17A!V878</f>
        <v>22377840</v>
      </c>
    </row>
    <row r="92" spans="1:6" ht="15" customHeight="1" x14ac:dyDescent="0.2">
      <c r="A92" s="22" t="s">
        <v>139</v>
      </c>
      <c r="B92" s="28" t="s">
        <v>140</v>
      </c>
      <c r="C92" s="113">
        <f>+[8]BS17!F68</f>
        <v>17</v>
      </c>
      <c r="D92" s="114">
        <f>+[8]BS17!G68</f>
        <v>1</v>
      </c>
      <c r="E92" s="115">
        <f>+[8]BS17!H68</f>
        <v>0</v>
      </c>
      <c r="F92" s="116">
        <f>[8]BS17A!V957</f>
        <v>1075790</v>
      </c>
    </row>
    <row r="93" spans="1:6" ht="15" customHeight="1" x14ac:dyDescent="0.2">
      <c r="A93" s="22" t="s">
        <v>141</v>
      </c>
      <c r="B93" s="28" t="s">
        <v>142</v>
      </c>
      <c r="C93" s="113">
        <f>+[8]BS17!F69</f>
        <v>3</v>
      </c>
      <c r="D93" s="114">
        <f>+[8]BS17!G69</f>
        <v>0</v>
      </c>
      <c r="E93" s="115">
        <f>+[8]BS17!H69</f>
        <v>0</v>
      </c>
      <c r="F93" s="116">
        <f>[8]BS17A!V1033</f>
        <v>261750</v>
      </c>
    </row>
    <row r="94" spans="1:6" ht="15" customHeight="1" x14ac:dyDescent="0.2">
      <c r="A94" s="22" t="s">
        <v>143</v>
      </c>
      <c r="B94" s="28" t="s">
        <v>144</v>
      </c>
      <c r="C94" s="113">
        <f>+[8]BS17!F70</f>
        <v>77</v>
      </c>
      <c r="D94" s="114">
        <f>+[8]BS17!G70</f>
        <v>0</v>
      </c>
      <c r="E94" s="115">
        <f>+[8]BS17!H70</f>
        <v>0</v>
      </c>
      <c r="F94" s="116">
        <f>[8]BS17A!V1094</f>
        <v>4611780</v>
      </c>
    </row>
    <row r="95" spans="1:6" ht="15" customHeight="1" x14ac:dyDescent="0.2">
      <c r="A95" s="22" t="s">
        <v>145</v>
      </c>
      <c r="B95" s="28" t="s">
        <v>146</v>
      </c>
      <c r="C95" s="113">
        <f>+[8]BS17!F71</f>
        <v>118</v>
      </c>
      <c r="D95" s="114">
        <f>+[8]BS17!G71</f>
        <v>1</v>
      </c>
      <c r="E95" s="115">
        <f>+[8]BS17!H71</f>
        <v>0</v>
      </c>
      <c r="F95" s="116">
        <f>[8]BS17A!V1162</f>
        <v>3035705</v>
      </c>
    </row>
    <row r="96" spans="1:6" ht="15" customHeight="1" x14ac:dyDescent="0.2">
      <c r="A96" s="22" t="s">
        <v>147</v>
      </c>
      <c r="B96" s="28" t="s">
        <v>148</v>
      </c>
      <c r="C96" s="113">
        <f>+[8]BS17!F72</f>
        <v>3</v>
      </c>
      <c r="D96" s="114">
        <f>+[8]BS17!G72</f>
        <v>0</v>
      </c>
      <c r="E96" s="115">
        <f>+[8]BS17!H72</f>
        <v>0</v>
      </c>
      <c r="F96" s="116">
        <f>[8]BS17A!V1210</f>
        <v>568260</v>
      </c>
    </row>
    <row r="97" spans="1:6" ht="15" customHeight="1" x14ac:dyDescent="0.2">
      <c r="A97" s="22" t="s">
        <v>149</v>
      </c>
      <c r="B97" s="28" t="s">
        <v>150</v>
      </c>
      <c r="C97" s="113">
        <f>+[8]BS17!F73</f>
        <v>3</v>
      </c>
      <c r="D97" s="114">
        <f>+[8]BS17!G73</f>
        <v>0</v>
      </c>
      <c r="E97" s="115">
        <f>+[8]BS17!H73</f>
        <v>0</v>
      </c>
      <c r="F97" s="116">
        <f>[8]BS17A!V1276</f>
        <v>144870</v>
      </c>
    </row>
    <row r="98" spans="1:6" ht="15" customHeight="1" x14ac:dyDescent="0.2">
      <c r="A98" s="22" t="s">
        <v>151</v>
      </c>
      <c r="B98" s="28" t="s">
        <v>152</v>
      </c>
      <c r="C98" s="113">
        <f>+[8]BS17!F74</f>
        <v>176</v>
      </c>
      <c r="D98" s="114">
        <f>+[8]BS17!G74</f>
        <v>24</v>
      </c>
      <c r="E98" s="115">
        <f>+[8]BS17!H74</f>
        <v>0</v>
      </c>
      <c r="F98" s="116">
        <f>[8]BS17A!V1346</f>
        <v>42868690</v>
      </c>
    </row>
    <row r="99" spans="1:6" ht="15" customHeight="1" x14ac:dyDescent="0.2">
      <c r="A99" s="22" t="s">
        <v>153</v>
      </c>
      <c r="B99" s="28" t="s">
        <v>154</v>
      </c>
      <c r="C99" s="113">
        <f>+[8]BS17!F75</f>
        <v>8</v>
      </c>
      <c r="D99" s="114">
        <f>+[8]BS17!G75</f>
        <v>0</v>
      </c>
      <c r="E99" s="115">
        <f>+[8]BS17!H75</f>
        <v>0</v>
      </c>
      <c r="F99" s="116">
        <f>[8]BS17A!V1430</f>
        <v>831320</v>
      </c>
    </row>
    <row r="100" spans="1:6" ht="15" customHeight="1" x14ac:dyDescent="0.2">
      <c r="A100" s="22" t="s">
        <v>155</v>
      </c>
      <c r="B100" s="28" t="s">
        <v>156</v>
      </c>
      <c r="C100" s="113">
        <f>+[8]BS17!F76</f>
        <v>24</v>
      </c>
      <c r="D100" s="114">
        <f>+[8]BS17!G76</f>
        <v>1</v>
      </c>
      <c r="E100" s="115">
        <f>+[8]BS17!H76</f>
        <v>0</v>
      </c>
      <c r="F100" s="116">
        <f>[8]BS17A!V1477</f>
        <v>5209905</v>
      </c>
    </row>
    <row r="101" spans="1:6" ht="15" customHeight="1" x14ac:dyDescent="0.2">
      <c r="A101" s="22" t="s">
        <v>157</v>
      </c>
      <c r="B101" s="28" t="s">
        <v>158</v>
      </c>
      <c r="C101" s="113">
        <f>+[8]BS17!F77</f>
        <v>3</v>
      </c>
      <c r="D101" s="114">
        <f>+[8]BS17!G77</f>
        <v>1</v>
      </c>
      <c r="E101" s="115">
        <f>+[8]BS17!H77</f>
        <v>0</v>
      </c>
      <c r="F101" s="116">
        <f>[8]BS17A!V1580</f>
        <v>582280</v>
      </c>
    </row>
    <row r="102" spans="1:6" ht="15" customHeight="1" x14ac:dyDescent="0.2">
      <c r="A102" s="65" t="s">
        <v>159</v>
      </c>
      <c r="B102" s="30" t="s">
        <v>160</v>
      </c>
      <c r="C102" s="117">
        <f>+[8]BS17!F78</f>
        <v>33</v>
      </c>
      <c r="D102" s="118">
        <f>+[8]BS17!G78</f>
        <v>2</v>
      </c>
      <c r="E102" s="119">
        <f>+[8]BS17!H78</f>
        <v>0</v>
      </c>
      <c r="F102" s="120">
        <f>[8]BS17A!V1585</f>
        <v>6376360</v>
      </c>
    </row>
    <row r="103" spans="1:6" ht="15" customHeight="1" x14ac:dyDescent="0.2">
      <c r="A103" s="17" t="s">
        <v>161</v>
      </c>
      <c r="B103" s="36" t="s">
        <v>162</v>
      </c>
      <c r="C103" s="109">
        <f>+[8]BS17!F79</f>
        <v>69</v>
      </c>
      <c r="D103" s="110">
        <f>+[8]BS17!G79</f>
        <v>2</v>
      </c>
      <c r="E103" s="111">
        <f>+[8]BS17!H79</f>
        <v>0</v>
      </c>
      <c r="F103" s="112">
        <f>+[8]BS17A!V1619</f>
        <v>7620030</v>
      </c>
    </row>
    <row r="104" spans="1:6" ht="15" customHeight="1" x14ac:dyDescent="0.2">
      <c r="A104" s="22"/>
      <c r="B104" s="28" t="s">
        <v>163</v>
      </c>
      <c r="C104" s="113">
        <f>+[8]BS17A!D1623</f>
        <v>0</v>
      </c>
      <c r="D104" s="114">
        <f>+[8]BS17A!F1623</f>
        <v>0</v>
      </c>
      <c r="E104" s="115">
        <f>+[8]BS17A!G1623</f>
        <v>0</v>
      </c>
      <c r="F104" s="116">
        <f>+[8]BS17A!V1623</f>
        <v>0</v>
      </c>
    </row>
    <row r="105" spans="1:6" ht="15" customHeight="1" x14ac:dyDescent="0.2">
      <c r="A105" s="22"/>
      <c r="B105" s="28" t="s">
        <v>164</v>
      </c>
      <c r="C105" s="113">
        <f>+[8]BS17A!D1622</f>
        <v>47</v>
      </c>
      <c r="D105" s="114">
        <f>+[8]BS17A!F1622</f>
        <v>0</v>
      </c>
      <c r="E105" s="115">
        <f>+[8]BS17A!G1622</f>
        <v>0</v>
      </c>
      <c r="F105" s="116">
        <f>+[8]BS17A!V1622</f>
        <v>5562450</v>
      </c>
    </row>
    <row r="106" spans="1:6" ht="15" customHeight="1" x14ac:dyDescent="0.2">
      <c r="A106" s="29"/>
      <c r="B106" s="39" t="s">
        <v>165</v>
      </c>
      <c r="C106" s="121">
        <f>+[8]BS17A!D1620+[8]BS17A!D1621</f>
        <v>22</v>
      </c>
      <c r="D106" s="122">
        <f>+[8]BS17A!F1620+[8]BS17A!F1621</f>
        <v>2</v>
      </c>
      <c r="E106" s="123">
        <f>+[8]BS17A!G1620+[8]BS17A!G1621</f>
        <v>0</v>
      </c>
      <c r="F106" s="124">
        <f>+[8]BS17A!V1620+[8]BS17A!V1621</f>
        <v>2057580</v>
      </c>
    </row>
    <row r="107" spans="1:6" ht="15" customHeight="1" x14ac:dyDescent="0.2">
      <c r="A107" s="59" t="s">
        <v>166</v>
      </c>
      <c r="B107" s="79" t="s">
        <v>167</v>
      </c>
      <c r="C107" s="125">
        <f>+[8]BS17!F80</f>
        <v>49</v>
      </c>
      <c r="D107" s="126">
        <f>+[8]BS17!G80</f>
        <v>4</v>
      </c>
      <c r="E107" s="127">
        <f>+[8]BS17!H80</f>
        <v>0</v>
      </c>
      <c r="F107" s="128">
        <f>+[8]BS17A!V1627</f>
        <v>8290040</v>
      </c>
    </row>
    <row r="108" spans="1:6" ht="15" customHeight="1" x14ac:dyDescent="0.2">
      <c r="A108" s="129">
        <v>2106</v>
      </c>
      <c r="B108" s="39" t="s">
        <v>168</v>
      </c>
      <c r="C108" s="121">
        <f>[8]BS17A!D1833</f>
        <v>1</v>
      </c>
      <c r="D108" s="122">
        <f>[8]BS17A!F1833</f>
        <v>1</v>
      </c>
      <c r="E108" s="123">
        <f>[8]BS17A!G1833</f>
        <v>0</v>
      </c>
      <c r="F108" s="124">
        <f>+[8]BS17A!V1833</f>
        <v>74235</v>
      </c>
    </row>
    <row r="109" spans="1:6" ht="15" customHeight="1" x14ac:dyDescent="0.2">
      <c r="A109" s="130"/>
      <c r="B109" s="131" t="s">
        <v>169</v>
      </c>
      <c r="C109" s="132">
        <f>SUM(C90:C108)-C103</f>
        <v>659</v>
      </c>
      <c r="D109" s="133">
        <f>SUM(D90:D108)-D103</f>
        <v>37</v>
      </c>
      <c r="E109" s="134">
        <f>+SUM(E90:E103)+E107+E108</f>
        <v>0</v>
      </c>
      <c r="F109" s="135">
        <f>+SUM(F90:F103)+F107+F108</f>
        <v>103928855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256" t="s">
        <v>170</v>
      </c>
      <c r="B112" s="252"/>
      <c r="C112" s="252"/>
      <c r="D112" s="252"/>
      <c r="E112" s="253"/>
      <c r="F112" s="5"/>
    </row>
    <row r="113" spans="1:6" ht="38.25" x14ac:dyDescent="0.2">
      <c r="A113" s="11" t="s">
        <v>8</v>
      </c>
      <c r="B113" s="11" t="s">
        <v>9</v>
      </c>
      <c r="C113" s="12" t="s">
        <v>10</v>
      </c>
      <c r="D113" s="13" t="s">
        <v>11</v>
      </c>
      <c r="E113" s="1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19">
        <f>+[8]BS17A!D1624</f>
        <v>99</v>
      </c>
      <c r="D114" s="136">
        <f>+[8]BS17A!U1624</f>
        <v>118340</v>
      </c>
      <c r="E114" s="137">
        <f>+[8]BS17A!V1624</f>
        <v>11715660</v>
      </c>
      <c r="F114" s="8"/>
    </row>
    <row r="115" spans="1:6" ht="15" customHeight="1" x14ac:dyDescent="0.2">
      <c r="A115" s="29" t="s">
        <v>173</v>
      </c>
      <c r="B115" s="138" t="s">
        <v>174</v>
      </c>
      <c r="C115" s="66">
        <f>+[8]BS17A!D1625</f>
        <v>3</v>
      </c>
      <c r="D115" s="139">
        <f>+[8]BS17A!U1625</f>
        <v>124520</v>
      </c>
      <c r="E115" s="106">
        <f>+[8]BS17A!V1625</f>
        <v>373560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102</v>
      </c>
      <c r="D116" s="57"/>
      <c r="E116" s="107">
        <f>SUM(E114:E115)</f>
        <v>12089220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262" t="s">
        <v>176</v>
      </c>
      <c r="B119" s="262"/>
      <c r="C119" s="262"/>
      <c r="D119" s="8"/>
      <c r="E119" s="8"/>
      <c r="F119" s="5"/>
    </row>
    <row r="120" spans="1:6" ht="28.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+[8]BS17A!V1859+[8]BS17A!V1876+[8]BS17A!V1895</f>
        <v>13146650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256" t="s">
        <v>179</v>
      </c>
      <c r="B124" s="252"/>
      <c r="C124" s="252"/>
      <c r="D124" s="252"/>
      <c r="E124" s="253"/>
      <c r="F124" s="5"/>
    </row>
    <row r="125" spans="1:6" ht="38.25" x14ac:dyDescent="0.2">
      <c r="A125" s="11" t="s">
        <v>8</v>
      </c>
      <c r="B125" s="11" t="s">
        <v>9</v>
      </c>
      <c r="C125" s="12" t="s">
        <v>10</v>
      </c>
      <c r="D125" s="13" t="s">
        <v>11</v>
      </c>
      <c r="E125" s="1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19">
        <f>+[8]BS17A!$D59</f>
        <v>5364</v>
      </c>
      <c r="D126" s="37">
        <f>+[8]BS17A!$U59</f>
        <v>30310</v>
      </c>
      <c r="E126" s="145">
        <f>+[8]BS17A!$V59</f>
        <v>162582840</v>
      </c>
      <c r="F126" s="8"/>
    </row>
    <row r="127" spans="1:6" ht="15" customHeight="1" x14ac:dyDescent="0.2">
      <c r="A127" s="22" t="s">
        <v>182</v>
      </c>
      <c r="B127" s="23" t="s">
        <v>183</v>
      </c>
      <c r="C127" s="24">
        <f>+[8]BS17A!$D60</f>
        <v>0</v>
      </c>
      <c r="D127" s="25">
        <f>+[8]BS17A!$U60</f>
        <v>27900</v>
      </c>
      <c r="E127" s="146">
        <f>+[8]BS17A!$V60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24">
        <f>+[8]BS17A!$D61</f>
        <v>0</v>
      </c>
      <c r="D128" s="25">
        <f>+[8]BS17A!$U61</f>
        <v>23260</v>
      </c>
      <c r="E128" s="146">
        <f>+[8]BS17A!$V61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24">
        <f>SUM([8]BS17A!D62:D64)</f>
        <v>0</v>
      </c>
      <c r="D129" s="25">
        <f>+[8]BS17A!$U62</f>
        <v>126000</v>
      </c>
      <c r="E129" s="146">
        <f>SUM([8]BS17A!V62:V64)</f>
        <v>0</v>
      </c>
      <c r="F129" s="8"/>
    </row>
    <row r="130" spans="1:6" ht="15" customHeight="1" x14ac:dyDescent="0.2">
      <c r="A130" s="22" t="s">
        <v>188</v>
      </c>
      <c r="B130" s="23" t="s">
        <v>189</v>
      </c>
      <c r="C130" s="24">
        <f>SUM([8]BS17A!D65:D67)</f>
        <v>476</v>
      </c>
      <c r="D130" s="25">
        <f>+[8]BS17A!$U65</f>
        <v>60860</v>
      </c>
      <c r="E130" s="146">
        <f>SUM([8]BS17A!V65:V67)</f>
        <v>28969360</v>
      </c>
      <c r="F130" s="8"/>
    </row>
    <row r="131" spans="1:6" ht="15" customHeight="1" x14ac:dyDescent="0.2">
      <c r="A131" s="22" t="s">
        <v>190</v>
      </c>
      <c r="B131" s="23" t="s">
        <v>191</v>
      </c>
      <c r="C131" s="24">
        <f>+[8]BS17A!D68</f>
        <v>137</v>
      </c>
      <c r="D131" s="25">
        <f>+[8]BS17A!$U68</f>
        <v>54600</v>
      </c>
      <c r="E131" s="146">
        <f>+[8]BS17A!$V68</f>
        <v>7480200</v>
      </c>
      <c r="F131" s="8"/>
    </row>
    <row r="132" spans="1:6" ht="15" customHeight="1" x14ac:dyDescent="0.2">
      <c r="A132" s="22" t="s">
        <v>192</v>
      </c>
      <c r="B132" s="23" t="s">
        <v>193</v>
      </c>
      <c r="C132" s="24">
        <f>+[8]BS17A!$D69</f>
        <v>0</v>
      </c>
      <c r="D132" s="25">
        <f>+[8]BS17A!$U69</f>
        <v>15500</v>
      </c>
      <c r="E132" s="146">
        <f>+[8]BS17A!$V69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24">
        <f>+[8]BS17A!$D70</f>
        <v>0</v>
      </c>
      <c r="D133" s="25">
        <f>+[8]BS17A!$U70</f>
        <v>24280</v>
      </c>
      <c r="E133" s="146">
        <f>+[8]BS17A!$V70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24">
        <f>+[8]BS17A!$D73</f>
        <v>0</v>
      </c>
      <c r="D134" s="25">
        <f>+[8]BS17A!$U73</f>
        <v>24470</v>
      </c>
      <c r="E134" s="146">
        <f>+[8]BS17A!$V73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24">
        <f>+[8]BS17A!$D71</f>
        <v>0</v>
      </c>
      <c r="D135" s="25">
        <f>+[8]BS17A!$U71</f>
        <v>25270</v>
      </c>
      <c r="E135" s="146">
        <f>+[8]BS17A!$V71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24">
        <f>+[8]BS17A!$D76</f>
        <v>0</v>
      </c>
      <c r="D136" s="25">
        <f>+[8]BS17A!$U76</f>
        <v>30310</v>
      </c>
      <c r="E136" s="146">
        <f>+[8]BS17A!$V76</f>
        <v>0</v>
      </c>
      <c r="F136" s="8"/>
    </row>
    <row r="137" spans="1:6" ht="15" customHeight="1" x14ac:dyDescent="0.2">
      <c r="A137" s="22" t="s">
        <v>202</v>
      </c>
      <c r="B137" s="28" t="s">
        <v>203</v>
      </c>
      <c r="C137" s="24">
        <f>+[8]BS17A!$D79</f>
        <v>43</v>
      </c>
      <c r="D137" s="25">
        <f>+[8]BS17A!$U79</f>
        <v>5880</v>
      </c>
      <c r="E137" s="146">
        <f>+[8]BS17A!$V79</f>
        <v>252840</v>
      </c>
      <c r="F137" s="8"/>
    </row>
    <row r="138" spans="1:6" ht="15" customHeight="1" x14ac:dyDescent="0.2">
      <c r="A138" s="22" t="s">
        <v>204</v>
      </c>
      <c r="B138" s="28" t="s">
        <v>205</v>
      </c>
      <c r="C138" s="24">
        <f>+[8]BS17A!$D80</f>
        <v>0</v>
      </c>
      <c r="D138" s="25">
        <f>+[8]BS17A!$U80</f>
        <v>42470</v>
      </c>
      <c r="E138" s="146">
        <f>+[8]BS17A!$V80</f>
        <v>0</v>
      </c>
      <c r="F138" s="8"/>
    </row>
    <row r="139" spans="1:6" ht="15" customHeight="1" x14ac:dyDescent="0.2">
      <c r="A139" s="29"/>
      <c r="B139" s="147" t="s">
        <v>206</v>
      </c>
      <c r="C139" s="148">
        <f>SUM(C126:C138)</f>
        <v>6020</v>
      </c>
      <c r="D139" s="149"/>
      <c r="E139" s="150">
        <f>SUM(E126:E138)</f>
        <v>199285240</v>
      </c>
      <c r="F139" s="8"/>
    </row>
    <row r="140" spans="1:6" ht="15" customHeight="1" x14ac:dyDescent="0.2">
      <c r="A140" s="17"/>
      <c r="B140" s="81" t="s">
        <v>207</v>
      </c>
      <c r="C140" s="19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24">
        <f>+[8]BS17A!$D72</f>
        <v>0</v>
      </c>
      <c r="D141" s="25">
        <f>+[8]BS17A!$U72</f>
        <v>10190</v>
      </c>
      <c r="E141" s="146">
        <f>+[8]BS17A!$V72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24">
        <f>+[8]BS17A!$D74</f>
        <v>0</v>
      </c>
      <c r="D142" s="25">
        <f>+[8]BS17A!$U74</f>
        <v>10190</v>
      </c>
      <c r="E142" s="146">
        <f>+[8]BS17A!$V74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24">
        <f>+[8]BS17A!$D75</f>
        <v>4</v>
      </c>
      <c r="D143" s="25">
        <f>+[8]BS17A!$U75</f>
        <v>4490</v>
      </c>
      <c r="E143" s="146">
        <f>+[8]BS17A!$V75</f>
        <v>17960</v>
      </c>
      <c r="F143" s="8"/>
    </row>
    <row r="144" spans="1:6" ht="15" customHeight="1" x14ac:dyDescent="0.2">
      <c r="A144" s="22" t="s">
        <v>214</v>
      </c>
      <c r="B144" s="23" t="s">
        <v>215</v>
      </c>
      <c r="C144" s="24">
        <f>+[8]BS17A!$D77</f>
        <v>0</v>
      </c>
      <c r="D144" s="25">
        <f>+[8]BS17A!$U77</f>
        <v>81940</v>
      </c>
      <c r="E144" s="146">
        <f>+[8]BS17A!$V77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24">
        <f>+[8]BS17A!$D78</f>
        <v>0</v>
      </c>
      <c r="D145" s="25">
        <f>+[8]BS17A!$U78</f>
        <v>9670</v>
      </c>
      <c r="E145" s="146">
        <f>+[8]BS17A!$V78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24">
        <f>+[8]BS17A!$D81</f>
        <v>0</v>
      </c>
      <c r="D146" s="25">
        <f>+[8]BS17A!$U81</f>
        <v>7450</v>
      </c>
      <c r="E146" s="146">
        <f>+[8]BS17A!$V81</f>
        <v>0</v>
      </c>
      <c r="F146" s="8"/>
    </row>
    <row r="147" spans="1:6" ht="15" customHeight="1" x14ac:dyDescent="0.2">
      <c r="A147" s="29"/>
      <c r="B147" s="147" t="s">
        <v>220</v>
      </c>
      <c r="C147" s="148">
        <f>SUM(C141:C146)</f>
        <v>4</v>
      </c>
      <c r="D147" s="149"/>
      <c r="E147" s="150">
        <f>SUM(E141:E146)</f>
        <v>17960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6024</v>
      </c>
      <c r="D148" s="151"/>
      <c r="E148" s="152">
        <f>+E139+E147</f>
        <v>199303200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239" t="s">
        <v>222</v>
      </c>
      <c r="B151" s="240"/>
      <c r="C151" s="240"/>
      <c r="D151" s="240"/>
      <c r="E151" s="241"/>
      <c r="F151" s="5"/>
    </row>
    <row r="152" spans="1:6" ht="36" customHeight="1" x14ac:dyDescent="0.2">
      <c r="A152" s="11" t="s">
        <v>8</v>
      </c>
      <c r="B152" s="11" t="s">
        <v>9</v>
      </c>
      <c r="C152" s="12" t="s">
        <v>10</v>
      </c>
      <c r="D152" s="13" t="s">
        <v>11</v>
      </c>
      <c r="E152" s="1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19">
        <f>+[8]BS17A!D43</f>
        <v>2831</v>
      </c>
      <c r="D153" s="37">
        <f>[8]BS17A!U43</f>
        <v>700</v>
      </c>
      <c r="E153" s="145">
        <f>+[8]BS17A!V43</f>
        <v>1981700</v>
      </c>
      <c r="F153" s="8"/>
    </row>
    <row r="154" spans="1:6" ht="15" customHeight="1" x14ac:dyDescent="0.2">
      <c r="A154" s="29" t="s">
        <v>225</v>
      </c>
      <c r="B154" s="43" t="s">
        <v>226</v>
      </c>
      <c r="C154" s="31">
        <f>+[8]BS17A!D44+[8]BS17A!D45</f>
        <v>0</v>
      </c>
      <c r="D154" s="40">
        <f>[8]BS17A!U44</f>
        <v>100</v>
      </c>
      <c r="E154" s="153">
        <f>+[8]BS17A!V44+[8]BS17A!V45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2831</v>
      </c>
      <c r="D155" s="151"/>
      <c r="E155" s="152">
        <f>SUM(E153:E154)</f>
        <v>1981700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239" t="s">
        <v>228</v>
      </c>
      <c r="B158" s="240"/>
      <c r="C158" s="240"/>
      <c r="D158" s="240"/>
      <c r="E158" s="241"/>
      <c r="F158" s="5"/>
    </row>
    <row r="159" spans="1:6" ht="47.25" customHeight="1" x14ac:dyDescent="0.2">
      <c r="A159" s="11" t="s">
        <v>8</v>
      </c>
      <c r="B159" s="11" t="s">
        <v>9</v>
      </c>
      <c r="C159" s="12" t="s">
        <v>10</v>
      </c>
      <c r="D159" s="13" t="s">
        <v>11</v>
      </c>
      <c r="E159" s="1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+[8]BS17A!$D1470</f>
        <v>0</v>
      </c>
      <c r="D160" s="37">
        <f>+[8]BS17A!$U1470</f>
        <v>38160</v>
      </c>
      <c r="E160" s="145">
        <f>+[8]BS17A!$V1470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+[8]BS17A!$D1471</f>
        <v>0</v>
      </c>
      <c r="D161" s="25">
        <f>+[8]BS17A!$U1471</f>
        <v>24000</v>
      </c>
      <c r="E161" s="146">
        <f>+[8]BS17A!$V1471</f>
        <v>0</v>
      </c>
      <c r="F161" s="8"/>
    </row>
    <row r="162" spans="1:6" ht="15" customHeight="1" x14ac:dyDescent="0.2">
      <c r="A162" s="22" t="s">
        <v>233</v>
      </c>
      <c r="B162" s="28" t="s">
        <v>234</v>
      </c>
      <c r="C162" s="155">
        <f>+[8]BS17A!$D1472</f>
        <v>0</v>
      </c>
      <c r="D162" s="25">
        <f>+[8]BS17A!$U1472</f>
        <v>24000</v>
      </c>
      <c r="E162" s="146">
        <f>+[8]BS17A!$V1472</f>
        <v>0</v>
      </c>
      <c r="F162" s="8"/>
    </row>
    <row r="163" spans="1:6" ht="15" customHeight="1" x14ac:dyDescent="0.2">
      <c r="A163" s="22" t="s">
        <v>235</v>
      </c>
      <c r="B163" s="156" t="s">
        <v>236</v>
      </c>
      <c r="C163" s="155">
        <f>+[8]BS17A!$D1473</f>
        <v>0</v>
      </c>
      <c r="D163" s="25">
        <f>+[8]BS17A!$U1473</f>
        <v>726900</v>
      </c>
      <c r="E163" s="146">
        <f>+[8]BS17A!$V1473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+[8]BS17A!$D1474</f>
        <v>0</v>
      </c>
      <c r="D164" s="25">
        <f>+[8]BS17A!$U1474</f>
        <v>515080</v>
      </c>
      <c r="E164" s="146">
        <f>+[8]BS17A!$V1474</f>
        <v>0</v>
      </c>
      <c r="F164" s="8"/>
    </row>
    <row r="165" spans="1:6" ht="15" customHeight="1" x14ac:dyDescent="0.2">
      <c r="A165" s="65" t="s">
        <v>239</v>
      </c>
      <c r="B165" s="138" t="s">
        <v>240</v>
      </c>
      <c r="C165" s="155">
        <f>+[8]BS17A!$D1475</f>
        <v>0</v>
      </c>
      <c r="D165" s="25">
        <f>+[8]BS17A!$U1475</f>
        <v>43850</v>
      </c>
      <c r="E165" s="146">
        <f>+[8]BS17A!$V1475</f>
        <v>0</v>
      </c>
      <c r="F165" s="8"/>
    </row>
    <row r="166" spans="1:6" ht="15" customHeight="1" x14ac:dyDescent="0.2">
      <c r="A166" s="129">
        <v>1901029</v>
      </c>
      <c r="B166" s="157" t="s">
        <v>241</v>
      </c>
      <c r="C166" s="158">
        <f>+[8]BS17A!$D1476</f>
        <v>0</v>
      </c>
      <c r="D166" s="40">
        <f>+[8]BS17A!$U1476</f>
        <v>591930</v>
      </c>
      <c r="E166" s="153">
        <f>+[8]BS17A!$V1476</f>
        <v>0</v>
      </c>
      <c r="F166" s="8"/>
    </row>
    <row r="167" spans="1:6" ht="15" customHeight="1" x14ac:dyDescent="0.2">
      <c r="A167" s="159"/>
      <c r="B167" s="160" t="s">
        <v>242</v>
      </c>
      <c r="C167" s="161">
        <f>SUM(C160:C166)</f>
        <v>0</v>
      </c>
      <c r="D167" s="162"/>
      <c r="E167" s="163">
        <f>SUM(E160:E166)</f>
        <v>0</v>
      </c>
      <c r="F167" s="8"/>
    </row>
    <row r="168" spans="1:6" ht="12.75" x14ac:dyDescent="0.2">
      <c r="A168" s="8"/>
      <c r="B168" s="8"/>
      <c r="C168" s="8"/>
      <c r="D168" s="8"/>
      <c r="E168" s="8"/>
      <c r="F168" s="8"/>
    </row>
    <row r="169" spans="1:6" ht="18" customHeight="1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256" t="s">
        <v>243</v>
      </c>
      <c r="B170" s="252"/>
      <c r="C170" s="252"/>
      <c r="D170" s="252"/>
      <c r="E170" s="253"/>
      <c r="F170" s="5"/>
    </row>
    <row r="171" spans="1:6" ht="35.25" customHeight="1" x14ac:dyDescent="0.2">
      <c r="A171" s="11" t="s">
        <v>8</v>
      </c>
      <c r="B171" s="11" t="s">
        <v>9</v>
      </c>
      <c r="C171" s="12" t="s">
        <v>10</v>
      </c>
      <c r="D171" s="13" t="s">
        <v>11</v>
      </c>
      <c r="E171" s="14" t="s">
        <v>12</v>
      </c>
      <c r="F171" s="8"/>
    </row>
    <row r="172" spans="1:6" ht="12.75" customHeight="1" x14ac:dyDescent="0.2">
      <c r="A172" s="164">
        <v>1101004</v>
      </c>
      <c r="B172" s="165" t="s">
        <v>244</v>
      </c>
      <c r="C172" s="19">
        <f>+[8]BS17A!$D801</f>
        <v>0</v>
      </c>
      <c r="D172" s="37">
        <f>+[8]BS17A!$U801</f>
        <v>13080</v>
      </c>
      <c r="E172" s="145">
        <f>+[8]BS17A!$V801</f>
        <v>0</v>
      </c>
      <c r="F172" s="8"/>
    </row>
    <row r="173" spans="1:6" ht="12.75" customHeight="1" x14ac:dyDescent="0.2">
      <c r="A173" s="104">
        <v>1101006</v>
      </c>
      <c r="B173" s="166" t="s">
        <v>245</v>
      </c>
      <c r="C173" s="24">
        <f>+[8]BS17A!$D802</f>
        <v>17</v>
      </c>
      <c r="D173" s="25">
        <f>+[8]BS17A!$U802</f>
        <v>10470</v>
      </c>
      <c r="E173" s="146">
        <f>+[8]BS17A!$V802</f>
        <v>177990</v>
      </c>
      <c r="F173" s="8"/>
    </row>
    <row r="174" spans="1:6" ht="24.75" customHeight="1" x14ac:dyDescent="0.2">
      <c r="A174" s="104" t="s">
        <v>246</v>
      </c>
      <c r="B174" s="167" t="s">
        <v>247</v>
      </c>
      <c r="C174" s="24">
        <f>+[8]BS17A!$D1186</f>
        <v>777</v>
      </c>
      <c r="D174" s="25">
        <f>+[8]BS17A!$U1186</f>
        <v>4480</v>
      </c>
      <c r="E174" s="146">
        <f>+[8]BS17A!$V1186</f>
        <v>3480960</v>
      </c>
      <c r="F174" s="8"/>
    </row>
    <row r="175" spans="1:6" ht="24.75" customHeight="1" x14ac:dyDescent="0.2">
      <c r="A175" s="104" t="s">
        <v>248</v>
      </c>
      <c r="B175" s="167" t="s">
        <v>249</v>
      </c>
      <c r="C175" s="24">
        <f>+[8]BS17A!$D1187</f>
        <v>16</v>
      </c>
      <c r="D175" s="25">
        <f>+[8]BS17A!$U1187</f>
        <v>12640</v>
      </c>
      <c r="E175" s="146">
        <f>+[8]BS17A!$V1187</f>
        <v>202240</v>
      </c>
      <c r="F175" s="8"/>
    </row>
    <row r="176" spans="1:6" ht="24.75" customHeight="1" x14ac:dyDescent="0.2">
      <c r="A176" s="104" t="s">
        <v>250</v>
      </c>
      <c r="B176" s="167" t="s">
        <v>251</v>
      </c>
      <c r="C176" s="24">
        <f>+[8]BS17A!$D1188</f>
        <v>21</v>
      </c>
      <c r="D176" s="25">
        <f>+[8]BS17A!$U1188</f>
        <v>21430</v>
      </c>
      <c r="E176" s="146">
        <f>+[8]BS17A!$V1188</f>
        <v>450030</v>
      </c>
      <c r="F176" s="8"/>
    </row>
    <row r="177" spans="1:6" ht="12.75" customHeight="1" x14ac:dyDescent="0.2">
      <c r="A177" s="104" t="s">
        <v>252</v>
      </c>
      <c r="B177" s="167" t="s">
        <v>253</v>
      </c>
      <c r="C177" s="24">
        <f>+[8]BS17A!$D1189</f>
        <v>0</v>
      </c>
      <c r="D177" s="25">
        <f>+[8]BS17A!$U1189</f>
        <v>40910</v>
      </c>
      <c r="E177" s="146">
        <f>+[8]BS17A!$V1189</f>
        <v>0</v>
      </c>
      <c r="F177" s="8"/>
    </row>
    <row r="178" spans="1:6" ht="12.75" customHeight="1" x14ac:dyDescent="0.2">
      <c r="A178" s="104" t="s">
        <v>254</v>
      </c>
      <c r="B178" s="167" t="s">
        <v>255</v>
      </c>
      <c r="C178" s="24">
        <f>+[8]BS17A!$D1190</f>
        <v>58</v>
      </c>
      <c r="D178" s="25">
        <f>+[8]BS17A!$U1190</f>
        <v>45600</v>
      </c>
      <c r="E178" s="146">
        <f>+[8]BS17A!$V1190</f>
        <v>2644800</v>
      </c>
      <c r="F178" s="8"/>
    </row>
    <row r="179" spans="1:6" ht="24.75" customHeight="1" x14ac:dyDescent="0.2">
      <c r="A179" s="104" t="s">
        <v>256</v>
      </c>
      <c r="B179" s="167" t="s">
        <v>257</v>
      </c>
      <c r="C179" s="24">
        <f>+[8]BS17A!$D1191</f>
        <v>0</v>
      </c>
      <c r="D179" s="25">
        <f>+[8]BS17A!$U1191</f>
        <v>25580</v>
      </c>
      <c r="E179" s="146">
        <f>+[8]BS17A!$V1191</f>
        <v>0</v>
      </c>
      <c r="F179" s="8"/>
    </row>
    <row r="180" spans="1:6" ht="12.75" customHeight="1" x14ac:dyDescent="0.2">
      <c r="A180" s="104" t="s">
        <v>258</v>
      </c>
      <c r="B180" s="156" t="s">
        <v>259</v>
      </c>
      <c r="C180" s="24">
        <f>+[8]BS17A!$D1192</f>
        <v>0</v>
      </c>
      <c r="D180" s="25">
        <f>+[8]BS17A!$U1192</f>
        <v>197910</v>
      </c>
      <c r="E180" s="146">
        <f>+[8]BS17A!$V1192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24">
        <f>+[8]BS17A!$D1193</f>
        <v>0</v>
      </c>
      <c r="D181" s="25">
        <f>+[8]BS17A!$U1193</f>
        <v>224990</v>
      </c>
      <c r="E181" s="146">
        <f>+[8]BS17A!$V1193</f>
        <v>0</v>
      </c>
      <c r="F181" s="8"/>
    </row>
    <row r="182" spans="1:6" ht="12.75" customHeight="1" x14ac:dyDescent="0.2">
      <c r="A182" s="104" t="s">
        <v>262</v>
      </c>
      <c r="B182" s="167" t="s">
        <v>263</v>
      </c>
      <c r="C182" s="24">
        <f>+[8]BS17A!$D1194</f>
        <v>0</v>
      </c>
      <c r="D182" s="25">
        <f>+[8]BS17A!$U1194</f>
        <v>183470</v>
      </c>
      <c r="E182" s="146">
        <f>+[8]BS17A!$V1194</f>
        <v>0</v>
      </c>
      <c r="F182" s="8"/>
    </row>
    <row r="183" spans="1:6" ht="24.75" customHeight="1" x14ac:dyDescent="0.2">
      <c r="A183" s="104" t="s">
        <v>264</v>
      </c>
      <c r="B183" s="156" t="s">
        <v>265</v>
      </c>
      <c r="C183" s="24">
        <f>+[8]BS17A!$D1195</f>
        <v>0</v>
      </c>
      <c r="D183" s="25">
        <f>+[8]BS17A!$U1195</f>
        <v>235660</v>
      </c>
      <c r="E183" s="146">
        <f>+[8]BS17A!$V1195</f>
        <v>0</v>
      </c>
      <c r="F183" s="8"/>
    </row>
    <row r="184" spans="1:6" ht="24.75" customHeight="1" x14ac:dyDescent="0.2">
      <c r="A184" s="104" t="s">
        <v>266</v>
      </c>
      <c r="B184" s="156" t="s">
        <v>267</v>
      </c>
      <c r="C184" s="24">
        <f>+[8]BS17A!$D1196</f>
        <v>0</v>
      </c>
      <c r="D184" s="25">
        <f>+[8]BS17A!$U1196</f>
        <v>241140</v>
      </c>
      <c r="E184" s="146">
        <f>+[8]BS17A!$V1196</f>
        <v>0</v>
      </c>
      <c r="F184" s="8"/>
    </row>
    <row r="185" spans="1:6" ht="24.75" customHeight="1" x14ac:dyDescent="0.2">
      <c r="A185" s="104" t="s">
        <v>268</v>
      </c>
      <c r="B185" s="156" t="s">
        <v>269</v>
      </c>
      <c r="C185" s="24">
        <f>+[8]BS17A!$D1197</f>
        <v>0</v>
      </c>
      <c r="D185" s="25">
        <f>+[8]BS17A!$U1197</f>
        <v>203920</v>
      </c>
      <c r="E185" s="146">
        <f>+[8]BS17A!$V1197</f>
        <v>0</v>
      </c>
      <c r="F185" s="8"/>
    </row>
    <row r="186" spans="1:6" ht="12.75" customHeight="1" x14ac:dyDescent="0.2">
      <c r="A186" s="104" t="s">
        <v>270</v>
      </c>
      <c r="B186" s="156" t="s">
        <v>271</v>
      </c>
      <c r="C186" s="24">
        <f>+[8]BS17A!$D1198</f>
        <v>0</v>
      </c>
      <c r="D186" s="25">
        <f>+[8]BS17A!$U1198</f>
        <v>217670</v>
      </c>
      <c r="E186" s="146">
        <f>+[8]BS17A!$V1198</f>
        <v>0</v>
      </c>
      <c r="F186" s="8"/>
    </row>
    <row r="187" spans="1:6" ht="12.75" customHeight="1" x14ac:dyDescent="0.2">
      <c r="A187" s="104" t="s">
        <v>272</v>
      </c>
      <c r="B187" s="156" t="s">
        <v>273</v>
      </c>
      <c r="C187" s="24">
        <f>+[8]BS17A!$D1199</f>
        <v>0</v>
      </c>
      <c r="D187" s="25">
        <f>+[8]BS17A!$U1199</f>
        <v>260270</v>
      </c>
      <c r="E187" s="146">
        <f>+[8]BS17A!$V1199</f>
        <v>0</v>
      </c>
      <c r="F187" s="8"/>
    </row>
    <row r="188" spans="1:6" ht="24.75" customHeight="1" x14ac:dyDescent="0.2">
      <c r="A188" s="104" t="s">
        <v>274</v>
      </c>
      <c r="B188" s="167" t="s">
        <v>275</v>
      </c>
      <c r="C188" s="24">
        <f>+[8]BS17A!$D1200</f>
        <v>0</v>
      </c>
      <c r="D188" s="25">
        <f>+[8]BS17A!$U1200</f>
        <v>230810</v>
      </c>
      <c r="E188" s="146">
        <f>+[8]BS17A!$V1200</f>
        <v>0</v>
      </c>
      <c r="F188" s="8"/>
    </row>
    <row r="189" spans="1:6" ht="24.75" customHeight="1" x14ac:dyDescent="0.2">
      <c r="A189" s="104" t="s">
        <v>276</v>
      </c>
      <c r="B189" s="156" t="s">
        <v>277</v>
      </c>
      <c r="C189" s="24">
        <f>+[8]BS17A!$D1201</f>
        <v>0</v>
      </c>
      <c r="D189" s="25">
        <f>+[8]BS17A!$U1201</f>
        <v>1689070</v>
      </c>
      <c r="E189" s="146">
        <f>+[8]BS17A!$V1201</f>
        <v>0</v>
      </c>
      <c r="F189" s="8"/>
    </row>
    <row r="190" spans="1:6" ht="12.75" customHeight="1" x14ac:dyDescent="0.2">
      <c r="A190" s="104" t="s">
        <v>278</v>
      </c>
      <c r="B190" s="156" t="s">
        <v>279</v>
      </c>
      <c r="C190" s="24">
        <f>+[8]BS17A!$D1202</f>
        <v>0</v>
      </c>
      <c r="D190" s="25">
        <f>+[8]BS17A!$U1202</f>
        <v>1054990</v>
      </c>
      <c r="E190" s="146">
        <f>+[8]BS17A!$V1202</f>
        <v>0</v>
      </c>
      <c r="F190" s="8"/>
    </row>
    <row r="191" spans="1:6" ht="12.75" customHeight="1" x14ac:dyDescent="0.2">
      <c r="A191" s="22" t="s">
        <v>280</v>
      </c>
      <c r="B191" s="156" t="s">
        <v>281</v>
      </c>
      <c r="C191" s="24">
        <f>+[8]BS17A!$D1203</f>
        <v>0</v>
      </c>
      <c r="D191" s="25">
        <f>+[8]BS17A!$U1203</f>
        <v>1021110</v>
      </c>
      <c r="E191" s="146">
        <f>+[8]BS17A!$V1203</f>
        <v>0</v>
      </c>
      <c r="F191" s="8"/>
    </row>
    <row r="192" spans="1:6" ht="24.75" customHeight="1" x14ac:dyDescent="0.2">
      <c r="A192" s="104" t="s">
        <v>282</v>
      </c>
      <c r="B192" s="156" t="s">
        <v>283</v>
      </c>
      <c r="C192" s="24">
        <f>+[8]BS17A!$D1204</f>
        <v>0</v>
      </c>
      <c r="D192" s="25">
        <f>+[8]BS17A!$U1204</f>
        <v>1069740</v>
      </c>
      <c r="E192" s="146">
        <f>+[8]BS17A!$V1204</f>
        <v>0</v>
      </c>
      <c r="F192" s="8"/>
    </row>
    <row r="193" spans="1:6" ht="12.75" customHeight="1" x14ac:dyDescent="0.2">
      <c r="A193" s="22" t="s">
        <v>284</v>
      </c>
      <c r="B193" s="156" t="s">
        <v>285</v>
      </c>
      <c r="C193" s="24">
        <f>+[8]BS17A!$D1205</f>
        <v>0</v>
      </c>
      <c r="D193" s="25">
        <f>+[8]BS17A!$U1205</f>
        <v>151380</v>
      </c>
      <c r="E193" s="146">
        <f>+[8]BS17A!$V1205</f>
        <v>0</v>
      </c>
      <c r="F193" s="8"/>
    </row>
    <row r="194" spans="1:6" ht="12.75" customHeight="1" x14ac:dyDescent="0.2">
      <c r="A194" s="22" t="s">
        <v>286</v>
      </c>
      <c r="B194" s="156" t="s">
        <v>287</v>
      </c>
      <c r="C194" s="24">
        <f>+[8]BS17A!$D1206</f>
        <v>0</v>
      </c>
      <c r="D194" s="25">
        <f>+[8]BS17A!$U1206</f>
        <v>345440</v>
      </c>
      <c r="E194" s="146">
        <f>+[8]BS17A!$V1206</f>
        <v>0</v>
      </c>
      <c r="F194" s="8"/>
    </row>
    <row r="195" spans="1:6" ht="12.75" customHeight="1" x14ac:dyDescent="0.2">
      <c r="A195" s="104" t="s">
        <v>288</v>
      </c>
      <c r="B195" s="156" t="s">
        <v>289</v>
      </c>
      <c r="C195" s="24">
        <f>+[8]BS17A!$D1207</f>
        <v>0</v>
      </c>
      <c r="D195" s="25">
        <f>+[8]BS17A!$U1207</f>
        <v>128060</v>
      </c>
      <c r="E195" s="146">
        <f>+[8]BS17A!$V1207</f>
        <v>0</v>
      </c>
      <c r="F195" s="8"/>
    </row>
    <row r="196" spans="1:6" ht="12.75" customHeight="1" x14ac:dyDescent="0.2">
      <c r="A196" s="104" t="s">
        <v>290</v>
      </c>
      <c r="B196" s="156" t="s">
        <v>291</v>
      </c>
      <c r="C196" s="24">
        <f>+[8]BS17A!$D1208</f>
        <v>0</v>
      </c>
      <c r="D196" s="25">
        <f>+[8]BS17A!$U1208</f>
        <v>1037610</v>
      </c>
      <c r="E196" s="146">
        <f>+[8]BS17A!$V1208</f>
        <v>0</v>
      </c>
      <c r="F196" s="8"/>
    </row>
    <row r="197" spans="1:6" ht="12.75" customHeight="1" x14ac:dyDescent="0.2">
      <c r="A197" s="104" t="s">
        <v>292</v>
      </c>
      <c r="B197" s="156" t="s">
        <v>293</v>
      </c>
      <c r="C197" s="24">
        <f>+[8]BS17A!$D1209</f>
        <v>0</v>
      </c>
      <c r="D197" s="25">
        <f>+[8]BS17A!$U1209</f>
        <v>1037610</v>
      </c>
      <c r="E197" s="146">
        <f>+[8]BS17A!$V1209</f>
        <v>0</v>
      </c>
      <c r="F197" s="8"/>
    </row>
    <row r="198" spans="1:6" ht="12.75" customHeight="1" x14ac:dyDescent="0.2">
      <c r="A198" s="104">
        <v>1801001</v>
      </c>
      <c r="B198" s="166" t="s">
        <v>294</v>
      </c>
      <c r="C198" s="24">
        <f>+[8]BS17A!$D1343</f>
        <v>27</v>
      </c>
      <c r="D198" s="25">
        <f>+[8]BS17A!$U1343</f>
        <v>30950</v>
      </c>
      <c r="E198" s="146">
        <f>+[8]BS17A!$V1343</f>
        <v>835650</v>
      </c>
      <c r="F198" s="8"/>
    </row>
    <row r="199" spans="1:6" ht="12.75" customHeight="1" x14ac:dyDescent="0.2">
      <c r="A199" s="104">
        <v>1801003</v>
      </c>
      <c r="B199" s="156" t="s">
        <v>295</v>
      </c>
      <c r="C199" s="24">
        <f>+[8]BS17A!$D1344</f>
        <v>0</v>
      </c>
      <c r="D199" s="25">
        <f>+[8]BS17A!$U1344</f>
        <v>37330</v>
      </c>
      <c r="E199" s="146">
        <f>+[8]BS17A!$V1344</f>
        <v>0</v>
      </c>
      <c r="F199" s="8"/>
    </row>
    <row r="200" spans="1:6" ht="12.75" customHeight="1" x14ac:dyDescent="0.2">
      <c r="A200" s="104">
        <v>1801006</v>
      </c>
      <c r="B200" s="166" t="s">
        <v>296</v>
      </c>
      <c r="C200" s="24">
        <f>+[8]BS17A!$D1345</f>
        <v>6</v>
      </c>
      <c r="D200" s="25">
        <f>+[8]BS17A!$U1345</f>
        <v>39760</v>
      </c>
      <c r="E200" s="146">
        <f>+[8]BS17A!$V1345</f>
        <v>238560</v>
      </c>
      <c r="F200" s="8"/>
    </row>
    <row r="201" spans="1:6" ht="24.75" customHeight="1" x14ac:dyDescent="0.2">
      <c r="A201" s="104" t="s">
        <v>297</v>
      </c>
      <c r="B201" s="166" t="s">
        <v>298</v>
      </c>
      <c r="C201" s="24">
        <f>[8]BS17A!D1032</f>
        <v>1</v>
      </c>
      <c r="D201" s="25">
        <f>[8]BS17A!U1032</f>
        <v>8370</v>
      </c>
      <c r="E201" s="146">
        <f>[8]BS17A!V1032</f>
        <v>8370</v>
      </c>
      <c r="F201" s="8"/>
    </row>
    <row r="202" spans="1:6" ht="24.75" customHeight="1" x14ac:dyDescent="0.2">
      <c r="A202" s="168" t="s">
        <v>299</v>
      </c>
      <c r="B202" s="169" t="s">
        <v>300</v>
      </c>
      <c r="C202" s="88">
        <f>[8]BS17A!D803</f>
        <v>0</v>
      </c>
      <c r="D202" s="170">
        <f>[8]BS17A!U803</f>
        <v>355150</v>
      </c>
      <c r="E202" s="171">
        <f>[8]BS17A!V803</f>
        <v>0</v>
      </c>
      <c r="F202" s="8"/>
    </row>
    <row r="203" spans="1:6" ht="17.25" customHeight="1" x14ac:dyDescent="0.2">
      <c r="A203" s="130"/>
      <c r="B203" s="131" t="s">
        <v>301</v>
      </c>
      <c r="C203" s="44">
        <f>SUM(C172:C202)</f>
        <v>923</v>
      </c>
      <c r="D203" s="151"/>
      <c r="E203" s="152">
        <f>SUM(E172:E202)</f>
        <v>8038600</v>
      </c>
      <c r="F203" s="8"/>
    </row>
    <row r="204" spans="1:6" ht="21.75" customHeight="1" x14ac:dyDescent="0.2">
      <c r="A204" s="8"/>
      <c r="B204" s="8"/>
      <c r="C204" s="8"/>
      <c r="D204" s="8"/>
      <c r="E204" s="8"/>
      <c r="F204" s="8"/>
    </row>
    <row r="205" spans="1:6" ht="19.5" customHeight="1" x14ac:dyDescent="0.2">
      <c r="A205" s="8"/>
      <c r="B205" s="8"/>
      <c r="C205" s="8"/>
      <c r="D205" s="8"/>
      <c r="E205" s="8"/>
      <c r="F205" s="8"/>
    </row>
    <row r="206" spans="1:6" ht="18" customHeight="1" x14ac:dyDescent="0.2">
      <c r="A206" s="256" t="s">
        <v>302</v>
      </c>
      <c r="B206" s="252"/>
      <c r="C206" s="252"/>
      <c r="D206" s="252"/>
      <c r="E206" s="253"/>
      <c r="F206" s="5"/>
    </row>
    <row r="207" spans="1:6" ht="39.75" customHeight="1" x14ac:dyDescent="0.2">
      <c r="A207" s="11" t="s">
        <v>8</v>
      </c>
      <c r="B207" s="11" t="s">
        <v>9</v>
      </c>
      <c r="C207" s="12" t="s">
        <v>10</v>
      </c>
      <c r="D207" s="13" t="s">
        <v>11</v>
      </c>
      <c r="E207" s="14" t="s">
        <v>12</v>
      </c>
      <c r="F207" s="5"/>
    </row>
    <row r="208" spans="1:6" ht="12.75" customHeight="1" x14ac:dyDescent="0.2">
      <c r="A208" s="17" t="s">
        <v>303</v>
      </c>
      <c r="B208" s="42" t="s">
        <v>304</v>
      </c>
      <c r="C208" s="19">
        <f>+[8]BS17A!$D18</f>
        <v>0</v>
      </c>
      <c r="D208" s="37">
        <f>+[8]BS17A!$U18</f>
        <v>12950</v>
      </c>
      <c r="E208" s="145">
        <f>+[8]BS17A!$V18</f>
        <v>0</v>
      </c>
      <c r="F208" s="8"/>
    </row>
    <row r="209" spans="1:6" ht="12.75" customHeight="1" x14ac:dyDescent="0.2">
      <c r="A209" s="22" t="s">
        <v>305</v>
      </c>
      <c r="B209" s="23" t="s">
        <v>306</v>
      </c>
      <c r="C209" s="24">
        <f>+[8]BS17A!$D19</f>
        <v>71</v>
      </c>
      <c r="D209" s="25">
        <f>+[8]BS17A!$U19</f>
        <v>12950</v>
      </c>
      <c r="E209" s="146">
        <f>+[8]BS17A!$V19</f>
        <v>919450</v>
      </c>
      <c r="F209" s="8"/>
    </row>
    <row r="210" spans="1:6" ht="12.75" customHeight="1" x14ac:dyDescent="0.2">
      <c r="A210" s="22" t="s">
        <v>307</v>
      </c>
      <c r="B210" s="28" t="s">
        <v>308</v>
      </c>
      <c r="C210" s="24">
        <f>+[8]BS17A!$D47</f>
        <v>0</v>
      </c>
      <c r="D210" s="25">
        <f>+[8]BS17A!$U47</f>
        <v>1240</v>
      </c>
      <c r="E210" s="146">
        <f>+[8]BS17A!$V47</f>
        <v>0</v>
      </c>
      <c r="F210" s="8"/>
    </row>
    <row r="211" spans="1:6" ht="12.75" customHeight="1" x14ac:dyDescent="0.2">
      <c r="A211" s="22" t="s">
        <v>309</v>
      </c>
      <c r="B211" s="28" t="s">
        <v>310</v>
      </c>
      <c r="C211" s="24">
        <f>+[8]BS17A!$D48</f>
        <v>486</v>
      </c>
      <c r="D211" s="25">
        <f>+[8]BS17A!$U48</f>
        <v>600</v>
      </c>
      <c r="E211" s="146">
        <f>+[8]BS17A!$V48</f>
        <v>291600</v>
      </c>
      <c r="F211" s="8"/>
    </row>
    <row r="212" spans="1:6" ht="12.75" customHeight="1" x14ac:dyDescent="0.2">
      <c r="A212" s="22" t="s">
        <v>311</v>
      </c>
      <c r="B212" s="23" t="s">
        <v>312</v>
      </c>
      <c r="C212" s="24">
        <f>+[8]BS17A!$D49</f>
        <v>1016</v>
      </c>
      <c r="D212" s="25">
        <f>+[8]BS17A!$U49</f>
        <v>1840</v>
      </c>
      <c r="E212" s="146">
        <f>+[8]BS17A!$V49</f>
        <v>1869440</v>
      </c>
      <c r="F212" s="8"/>
    </row>
    <row r="213" spans="1:6" ht="12.75" customHeight="1" x14ac:dyDescent="0.2">
      <c r="A213" s="22" t="s">
        <v>313</v>
      </c>
      <c r="B213" s="23" t="s">
        <v>314</v>
      </c>
      <c r="C213" s="24">
        <f>+[8]BS17A!$D50</f>
        <v>42</v>
      </c>
      <c r="D213" s="25">
        <f>+[8]BS17A!$U50</f>
        <v>13790</v>
      </c>
      <c r="E213" s="146">
        <f>+[8]BS17A!$V50</f>
        <v>579180</v>
      </c>
      <c r="F213" s="8"/>
    </row>
    <row r="214" spans="1:6" ht="12.75" customHeight="1" x14ac:dyDescent="0.2">
      <c r="A214" s="22" t="s">
        <v>315</v>
      </c>
      <c r="B214" s="28" t="s">
        <v>316</v>
      </c>
      <c r="C214" s="24">
        <f>+[8]BS17A!$D51</f>
        <v>56</v>
      </c>
      <c r="D214" s="25">
        <f>+[8]BS17A!$U51</f>
        <v>31670</v>
      </c>
      <c r="E214" s="146">
        <f>+[8]BS17A!$V51</f>
        <v>1773520</v>
      </c>
      <c r="F214" s="8"/>
    </row>
    <row r="215" spans="1:6" ht="12.75" customHeight="1" x14ac:dyDescent="0.2">
      <c r="A215" s="104" t="s">
        <v>317</v>
      </c>
      <c r="B215" s="28" t="s">
        <v>318</v>
      </c>
      <c r="C215" s="24">
        <f>+[8]BS17A!D52</f>
        <v>12</v>
      </c>
      <c r="D215" s="172"/>
      <c r="E215" s="146">
        <f>+[8]BS17A!V52</f>
        <v>94800</v>
      </c>
      <c r="F215" s="8"/>
    </row>
    <row r="216" spans="1:6" ht="12.75" customHeight="1" x14ac:dyDescent="0.2">
      <c r="A216" s="29" t="s">
        <v>319</v>
      </c>
      <c r="B216" s="43" t="s">
        <v>320</v>
      </c>
      <c r="C216" s="31">
        <f>+[8]BS17A!$D1849</f>
        <v>59</v>
      </c>
      <c r="D216" s="40">
        <f>+[8]BS17A!$U1849</f>
        <v>25670</v>
      </c>
      <c r="E216" s="153">
        <f>+[8]BS17A!$V1849</f>
        <v>1514530</v>
      </c>
      <c r="F216" s="8"/>
    </row>
    <row r="217" spans="1:6" ht="12.75" x14ac:dyDescent="0.2">
      <c r="A217" s="130"/>
      <c r="B217" s="131" t="s">
        <v>321</v>
      </c>
      <c r="C217" s="44">
        <f>SUM(C208:C216)</f>
        <v>1742</v>
      </c>
      <c r="D217" s="151"/>
      <c r="E217" s="171">
        <f>SUM(E208:E216)</f>
        <v>7042520</v>
      </c>
      <c r="F217" s="8"/>
    </row>
    <row r="218" spans="1:6" ht="17.25" customHeight="1" x14ac:dyDescent="0.2">
      <c r="A218" s="8"/>
      <c r="B218" s="8"/>
      <c r="C218" s="8"/>
      <c r="D218" s="8"/>
      <c r="E218" s="8"/>
      <c r="F218" s="8"/>
    </row>
    <row r="219" spans="1:6" ht="18" customHeight="1" x14ac:dyDescent="0.2">
      <c r="A219" s="8"/>
      <c r="B219" s="8"/>
      <c r="C219" s="8"/>
      <c r="D219" s="8"/>
      <c r="E219" s="8"/>
      <c r="F219" s="8"/>
    </row>
    <row r="220" spans="1:6" ht="27.75" customHeight="1" x14ac:dyDescent="0.2">
      <c r="A220" s="257" t="s">
        <v>322</v>
      </c>
      <c r="B220" s="258"/>
      <c r="C220" s="259"/>
      <c r="D220" s="8"/>
      <c r="E220" s="8"/>
      <c r="F220" s="5"/>
    </row>
    <row r="221" spans="1:6" ht="36.75" customHeight="1" x14ac:dyDescent="0.2">
      <c r="A221" s="11" t="s">
        <v>8</v>
      </c>
      <c r="B221" s="11" t="s">
        <v>10</v>
      </c>
      <c r="C221" s="11" t="s">
        <v>12</v>
      </c>
      <c r="D221" s="5"/>
      <c r="E221" s="8"/>
      <c r="F221" s="8"/>
    </row>
    <row r="222" spans="1:6" ht="15" customHeight="1" x14ac:dyDescent="0.2">
      <c r="A222" s="17" t="s">
        <v>323</v>
      </c>
      <c r="B222" s="173" t="s">
        <v>324</v>
      </c>
      <c r="C222" s="174"/>
      <c r="D222" s="175"/>
      <c r="E222" s="8"/>
      <c r="F222" s="8"/>
    </row>
    <row r="223" spans="1:6" ht="15" customHeight="1" x14ac:dyDescent="0.2">
      <c r="A223" s="176" t="s">
        <v>325</v>
      </c>
      <c r="B223" s="177" t="s">
        <v>326</v>
      </c>
      <c r="C223" s="178"/>
      <c r="D223" s="175"/>
      <c r="E223" s="8"/>
      <c r="F223" s="8"/>
    </row>
    <row r="224" spans="1:6" ht="18" customHeight="1" x14ac:dyDescent="0.2">
      <c r="A224" s="179"/>
      <c r="B224" s="180" t="s">
        <v>327</v>
      </c>
      <c r="C224" s="181">
        <f>SUM(C222:C223)</f>
        <v>0</v>
      </c>
      <c r="D224" s="175"/>
      <c r="E224" s="8"/>
      <c r="F224" s="8"/>
    </row>
    <row r="225" spans="1:7" ht="18" customHeight="1" x14ac:dyDescent="0.2">
      <c r="A225" s="8"/>
      <c r="B225" s="8"/>
      <c r="C225" s="8"/>
      <c r="D225" s="175"/>
      <c r="E225" s="175"/>
      <c r="F225" s="175"/>
    </row>
    <row r="226" spans="1:7" ht="18" customHeight="1" x14ac:dyDescent="0.2">
      <c r="A226" s="8"/>
      <c r="B226" s="8"/>
      <c r="C226" s="8"/>
      <c r="D226" s="8"/>
      <c r="E226" s="8"/>
      <c r="F226" s="175"/>
      <c r="G226" s="182"/>
    </row>
    <row r="227" spans="1:7" ht="18" customHeight="1" x14ac:dyDescent="0.2">
      <c r="A227" s="256" t="s">
        <v>328</v>
      </c>
      <c r="B227" s="252"/>
      <c r="C227" s="252"/>
      <c r="D227" s="252"/>
      <c r="E227" s="253"/>
      <c r="F227" s="175"/>
      <c r="G227" s="182"/>
    </row>
    <row r="228" spans="1:7" ht="64.5" customHeight="1" x14ac:dyDescent="0.2">
      <c r="A228" s="11" t="s">
        <v>8</v>
      </c>
      <c r="B228" s="11" t="s">
        <v>9</v>
      </c>
      <c r="C228" s="12" t="s">
        <v>10</v>
      </c>
      <c r="D228" s="13" t="s">
        <v>11</v>
      </c>
      <c r="E228" s="14" t="s">
        <v>12</v>
      </c>
      <c r="F228" s="175"/>
      <c r="G228" s="182"/>
    </row>
    <row r="229" spans="1:7" ht="15" customHeight="1" x14ac:dyDescent="0.2">
      <c r="A229" s="17" t="s">
        <v>329</v>
      </c>
      <c r="B229" s="42" t="s">
        <v>330</v>
      </c>
      <c r="C229" s="154">
        <f>+[8]BS17A!$D1920</f>
        <v>337</v>
      </c>
      <c r="D229" s="37">
        <f>+[8]BS17A!$U1920</f>
        <v>17720</v>
      </c>
      <c r="E229" s="145">
        <f>+[8]BS17A!$V1920</f>
        <v>5971640</v>
      </c>
      <c r="F229" s="8"/>
    </row>
    <row r="230" spans="1:7" ht="15" customHeight="1" x14ac:dyDescent="0.2">
      <c r="A230" s="29" t="s">
        <v>331</v>
      </c>
      <c r="B230" s="43" t="s">
        <v>332</v>
      </c>
      <c r="C230" s="158">
        <f>+[8]BS17A!$D1921</f>
        <v>0</v>
      </c>
      <c r="D230" s="40">
        <f>+[8]BS17A!$U1921</f>
        <v>222170</v>
      </c>
      <c r="E230" s="153">
        <f>+[8]BS17A!$V1921</f>
        <v>0</v>
      </c>
      <c r="F230" s="8"/>
    </row>
    <row r="231" spans="1:7" ht="18" customHeight="1" x14ac:dyDescent="0.2">
      <c r="A231" s="130"/>
      <c r="B231" s="131" t="s">
        <v>333</v>
      </c>
      <c r="C231" s="44">
        <f>SUM(C229:C230)</f>
        <v>337</v>
      </c>
      <c r="D231" s="151"/>
      <c r="E231" s="152">
        <f>SUM(E229:E230)</f>
        <v>5971640</v>
      </c>
      <c r="F231" s="8"/>
    </row>
    <row r="232" spans="1:7" ht="18" customHeight="1" x14ac:dyDescent="0.2">
      <c r="A232" s="183"/>
      <c r="B232" s="184"/>
      <c r="C232" s="185"/>
      <c r="D232" s="183"/>
      <c r="E232" s="183"/>
      <c r="F232" s="8"/>
    </row>
    <row r="233" spans="1:7" ht="18" customHeight="1" x14ac:dyDescent="0.2">
      <c r="A233" s="183"/>
      <c r="B233" s="184"/>
      <c r="C233" s="185"/>
      <c r="D233" s="183"/>
      <c r="E233" s="183"/>
      <c r="F233" s="8"/>
    </row>
    <row r="234" spans="1:7" ht="18" customHeight="1" x14ac:dyDescent="0.2">
      <c r="A234" s="251" t="s">
        <v>334</v>
      </c>
      <c r="B234" s="252"/>
      <c r="C234" s="252"/>
      <c r="D234" s="252"/>
      <c r="E234" s="253"/>
      <c r="F234" s="8"/>
    </row>
    <row r="235" spans="1:7" ht="38.25" x14ac:dyDescent="0.2">
      <c r="A235" s="11" t="s">
        <v>8</v>
      </c>
      <c r="B235" s="11" t="s">
        <v>9</v>
      </c>
      <c r="C235" s="12" t="s">
        <v>10</v>
      </c>
      <c r="D235" s="13" t="s">
        <v>11</v>
      </c>
      <c r="E235" s="14" t="s">
        <v>12</v>
      </c>
      <c r="F235" s="8"/>
    </row>
    <row r="236" spans="1:7" ht="18" customHeight="1" x14ac:dyDescent="0.2">
      <c r="A236" s="142" t="s">
        <v>335</v>
      </c>
      <c r="B236" s="186" t="s">
        <v>336</v>
      </c>
      <c r="C236" s="187">
        <f>[8]BS17A!D764</f>
        <v>363</v>
      </c>
      <c r="D236" s="188"/>
      <c r="E236" s="189">
        <f>[8]BS17A!V764</f>
        <v>2238970</v>
      </c>
      <c r="F236" s="8"/>
    </row>
    <row r="237" spans="1:7" ht="18" customHeight="1" x14ac:dyDescent="0.2">
      <c r="A237" s="183"/>
      <c r="B237" s="184"/>
      <c r="C237" s="185"/>
      <c r="D237" s="183"/>
      <c r="E237" s="183"/>
      <c r="F237" s="8"/>
    </row>
    <row r="238" spans="1:7" ht="18" customHeight="1" x14ac:dyDescent="0.2">
      <c r="A238" s="251" t="s">
        <v>337</v>
      </c>
      <c r="B238" s="254"/>
      <c r="C238" s="254"/>
      <c r="D238" s="254"/>
      <c r="E238" s="255"/>
      <c r="F238" s="8"/>
    </row>
    <row r="239" spans="1:7" ht="41.25" customHeight="1" x14ac:dyDescent="0.2">
      <c r="A239" s="11" t="s">
        <v>8</v>
      </c>
      <c r="B239" s="12" t="s">
        <v>338</v>
      </c>
      <c r="C239" s="100" t="s">
        <v>339</v>
      </c>
      <c r="D239" s="13" t="s">
        <v>11</v>
      </c>
      <c r="E239" s="14" t="s">
        <v>12</v>
      </c>
      <c r="F239" s="8"/>
    </row>
    <row r="240" spans="1:7" ht="15" customHeight="1" x14ac:dyDescent="0.2">
      <c r="A240" s="190" t="s">
        <v>340</v>
      </c>
      <c r="B240" s="191" t="s">
        <v>341</v>
      </c>
      <c r="C240" s="19">
        <f>+[8]BS17A!$D1923</f>
        <v>0</v>
      </c>
      <c r="D240" s="37">
        <f>+[8]BS17A!$U1923</f>
        <v>226920</v>
      </c>
      <c r="E240" s="145">
        <f>+[8]BS17A!$V1923</f>
        <v>0</v>
      </c>
      <c r="F240" s="8"/>
    </row>
    <row r="241" spans="1:6" ht="15" customHeight="1" x14ac:dyDescent="0.2">
      <c r="A241" s="192" t="s">
        <v>342</v>
      </c>
      <c r="B241" s="193" t="s">
        <v>343</v>
      </c>
      <c r="C241" s="24">
        <f>+[8]BS17A!$D1924</f>
        <v>0</v>
      </c>
      <c r="D241" s="25">
        <f>+[8]BS17A!$U1924</f>
        <v>32250</v>
      </c>
      <c r="E241" s="146">
        <f>+[8]BS17A!$V1924</f>
        <v>0</v>
      </c>
      <c r="F241" s="8"/>
    </row>
    <row r="242" spans="1:6" ht="15" customHeight="1" x14ac:dyDescent="0.2">
      <c r="A242" s="192" t="s">
        <v>344</v>
      </c>
      <c r="B242" s="193" t="s">
        <v>345</v>
      </c>
      <c r="C242" s="24">
        <f>+[8]BS17A!$D1925</f>
        <v>0</v>
      </c>
      <c r="D242" s="25">
        <f>+[8]BS17A!$U1925</f>
        <v>121620</v>
      </c>
      <c r="E242" s="146">
        <f>+[8]BS17A!$V1925</f>
        <v>0</v>
      </c>
      <c r="F242" s="8"/>
    </row>
    <row r="243" spans="1:6" ht="15" customHeight="1" x14ac:dyDescent="0.2">
      <c r="A243" s="192" t="s">
        <v>346</v>
      </c>
      <c r="B243" s="193" t="s">
        <v>347</v>
      </c>
      <c r="C243" s="24">
        <f>+[8]BS17A!$D1926</f>
        <v>0</v>
      </c>
      <c r="D243" s="25">
        <f>+[8]BS17A!$U1926</f>
        <v>121620</v>
      </c>
      <c r="E243" s="146">
        <f>+[8]BS17A!$V1926</f>
        <v>0</v>
      </c>
      <c r="F243" s="8"/>
    </row>
    <row r="244" spans="1:6" ht="15" customHeight="1" x14ac:dyDescent="0.2">
      <c r="A244" s="192" t="s">
        <v>348</v>
      </c>
      <c r="B244" s="193" t="s">
        <v>349</v>
      </c>
      <c r="C244" s="24">
        <f>+[8]BS17A!$D1927</f>
        <v>0</v>
      </c>
      <c r="D244" s="25">
        <f>+[8]BS17A!$U1927</f>
        <v>221430</v>
      </c>
      <c r="E244" s="146">
        <f>+[8]BS17A!$V1927</f>
        <v>0</v>
      </c>
      <c r="F244" s="8"/>
    </row>
    <row r="245" spans="1:6" ht="15" customHeight="1" x14ac:dyDescent="0.2">
      <c r="A245" s="192" t="s">
        <v>350</v>
      </c>
      <c r="B245" s="193" t="s">
        <v>351</v>
      </c>
      <c r="C245" s="24">
        <f>+[8]BS17A!$D1928</f>
        <v>0</v>
      </c>
      <c r="D245" s="25">
        <f>+[8]BS17A!$U1928</f>
        <v>339820</v>
      </c>
      <c r="E245" s="146">
        <f>+[8]BS17A!$V1928</f>
        <v>0</v>
      </c>
      <c r="F245" s="8"/>
    </row>
    <row r="246" spans="1:6" ht="15" customHeight="1" x14ac:dyDescent="0.2">
      <c r="A246" s="192" t="s">
        <v>352</v>
      </c>
      <c r="B246" s="193" t="s">
        <v>353</v>
      </c>
      <c r="C246" s="24">
        <f>+[8]BS17A!$D1929</f>
        <v>0</v>
      </c>
      <c r="D246" s="25">
        <f>+[8]BS17A!$U1929</f>
        <v>579700</v>
      </c>
      <c r="E246" s="146">
        <f>+[8]BS17A!$V1929</f>
        <v>0</v>
      </c>
      <c r="F246" s="8"/>
    </row>
    <row r="247" spans="1:6" ht="15" customHeight="1" x14ac:dyDescent="0.2">
      <c r="A247" s="194" t="s">
        <v>354</v>
      </c>
      <c r="B247" s="193" t="s">
        <v>355</v>
      </c>
      <c r="C247" s="24">
        <f>+[8]BS17A!$D1930</f>
        <v>0</v>
      </c>
      <c r="D247" s="25">
        <f>+[8]BS17A!$U1930</f>
        <v>120740</v>
      </c>
      <c r="E247" s="146">
        <f>+[8]BS17A!$V1930</f>
        <v>0</v>
      </c>
      <c r="F247" s="8"/>
    </row>
    <row r="248" spans="1:6" ht="15" customHeight="1" x14ac:dyDescent="0.2">
      <c r="A248" s="194" t="s">
        <v>356</v>
      </c>
      <c r="B248" s="193" t="s">
        <v>357</v>
      </c>
      <c r="C248" s="24">
        <f>+[8]BS17A!$D1931</f>
        <v>0</v>
      </c>
      <c r="D248" s="25">
        <f>+[8]BS17A!$U1931</f>
        <v>325420</v>
      </c>
      <c r="E248" s="146">
        <f>+[8]BS17A!$V1931</f>
        <v>0</v>
      </c>
      <c r="F248" s="8"/>
    </row>
    <row r="249" spans="1:6" ht="15" customHeight="1" x14ac:dyDescent="0.2">
      <c r="A249" s="194" t="s">
        <v>358</v>
      </c>
      <c r="B249" s="193" t="s">
        <v>359</v>
      </c>
      <c r="C249" s="66">
        <f>+[8]BS17A!$D1932</f>
        <v>0</v>
      </c>
      <c r="D249" s="32">
        <f>+[8]BS17A!$U1932</f>
        <v>137020</v>
      </c>
      <c r="E249" s="195">
        <f>+[8]BS17A!$V1932</f>
        <v>0</v>
      </c>
      <c r="F249" s="8"/>
    </row>
    <row r="250" spans="1:6" ht="15" customHeight="1" x14ac:dyDescent="0.2">
      <c r="A250" s="194" t="s">
        <v>360</v>
      </c>
      <c r="B250" s="193" t="s">
        <v>361</v>
      </c>
      <c r="C250" s="66">
        <f>+[8]BS17A!$D1933</f>
        <v>0</v>
      </c>
      <c r="D250" s="32">
        <f>+[8]BS17A!$U1933</f>
        <v>119070</v>
      </c>
      <c r="E250" s="195">
        <f>+[8]BS17A!$V1933</f>
        <v>0</v>
      </c>
      <c r="F250" s="8"/>
    </row>
    <row r="251" spans="1:6" ht="15" customHeight="1" x14ac:dyDescent="0.2">
      <c r="A251" s="194" t="s">
        <v>362</v>
      </c>
      <c r="B251" s="193" t="s">
        <v>363</v>
      </c>
      <c r="C251" s="66">
        <f>+[8]BS17A!$D1934</f>
        <v>0</v>
      </c>
      <c r="D251" s="32">
        <f>+[8]BS17A!$U1934</f>
        <v>181020</v>
      </c>
      <c r="E251" s="195">
        <f>+[8]BS17A!$V1934</f>
        <v>0</v>
      </c>
      <c r="F251" s="8"/>
    </row>
    <row r="252" spans="1:6" ht="15" customHeight="1" x14ac:dyDescent="0.2">
      <c r="A252" s="194" t="s">
        <v>364</v>
      </c>
      <c r="B252" s="193" t="s">
        <v>365</v>
      </c>
      <c r="C252" s="66">
        <f>+[8]BS17A!$D1935</f>
        <v>0</v>
      </c>
      <c r="D252" s="32">
        <f>+[8]BS17A!$U1935</f>
        <v>47640</v>
      </c>
      <c r="E252" s="195">
        <f>+[8]BS17A!$V1935</f>
        <v>0</v>
      </c>
      <c r="F252" s="8"/>
    </row>
    <row r="253" spans="1:6" ht="15" customHeight="1" x14ac:dyDescent="0.2">
      <c r="A253" s="196" t="s">
        <v>366</v>
      </c>
      <c r="B253" s="197" t="s">
        <v>367</v>
      </c>
      <c r="C253" s="31">
        <f>+[8]BS17A!$D1936</f>
        <v>0</v>
      </c>
      <c r="D253" s="40">
        <f>+[8]BS17A!$U1936</f>
        <v>35600</v>
      </c>
      <c r="E253" s="153">
        <f>+[8]BS17A!$V1936</f>
        <v>0</v>
      </c>
      <c r="F253" s="8"/>
    </row>
    <row r="254" spans="1:6" ht="15" customHeight="1" x14ac:dyDescent="0.2">
      <c r="A254" s="242" t="s">
        <v>368</v>
      </c>
      <c r="B254" s="243"/>
      <c r="C254" s="243"/>
      <c r="D254" s="243"/>
      <c r="E254" s="244"/>
      <c r="F254" s="8"/>
    </row>
    <row r="255" spans="1:6" ht="15" customHeight="1" x14ac:dyDescent="0.2">
      <c r="A255" s="17" t="s">
        <v>369</v>
      </c>
      <c r="B255" s="198" t="s">
        <v>341</v>
      </c>
      <c r="C255" s="19">
        <f>+[8]BS17A!$D1937</f>
        <v>0</v>
      </c>
      <c r="D255" s="37">
        <f>+[8]BS17A!$U1937</f>
        <v>195210</v>
      </c>
      <c r="E255" s="145">
        <f>+[8]BS17A!$V1937</f>
        <v>0</v>
      </c>
      <c r="F255" s="8"/>
    </row>
    <row r="256" spans="1:6" ht="15" customHeight="1" x14ac:dyDescent="0.2">
      <c r="A256" s="22" t="s">
        <v>370</v>
      </c>
      <c r="B256" s="34" t="s">
        <v>371</v>
      </c>
      <c r="C256" s="24">
        <f>+[8]BS17A!$D1938</f>
        <v>0</v>
      </c>
      <c r="D256" s="25">
        <f>+[8]BS17A!$U1938</f>
        <v>1161300</v>
      </c>
      <c r="E256" s="146">
        <f>+[8]BS17A!$V1938</f>
        <v>0</v>
      </c>
      <c r="F256" s="8"/>
    </row>
    <row r="257" spans="1:6" ht="15" customHeight="1" x14ac:dyDescent="0.2">
      <c r="A257" s="22" t="s">
        <v>372</v>
      </c>
      <c r="B257" s="34" t="s">
        <v>373</v>
      </c>
      <c r="C257" s="24">
        <f>+[8]BS17A!$D1939</f>
        <v>0</v>
      </c>
      <c r="D257" s="25">
        <f>+[8]BS17A!$U1939</f>
        <v>175210</v>
      </c>
      <c r="E257" s="146">
        <f>+[8]BS17A!$V1939</f>
        <v>0</v>
      </c>
      <c r="F257" s="8"/>
    </row>
    <row r="258" spans="1:6" ht="15" customHeight="1" x14ac:dyDescent="0.2">
      <c r="A258" s="22" t="s">
        <v>374</v>
      </c>
      <c r="B258" s="34" t="s">
        <v>375</v>
      </c>
      <c r="C258" s="24">
        <f>+[8]BS17A!$D1940</f>
        <v>0</v>
      </c>
      <c r="D258" s="25">
        <f>+[8]BS17A!$U1940</f>
        <v>154940</v>
      </c>
      <c r="E258" s="146">
        <f>+[8]BS17A!$V1940</f>
        <v>0</v>
      </c>
      <c r="F258" s="8"/>
    </row>
    <row r="259" spans="1:6" ht="15" customHeight="1" x14ac:dyDescent="0.2">
      <c r="A259" s="22" t="s">
        <v>376</v>
      </c>
      <c r="B259" s="34" t="s">
        <v>377</v>
      </c>
      <c r="C259" s="24">
        <f>+[8]BS17A!$D1941</f>
        <v>0</v>
      </c>
      <c r="D259" s="25">
        <f>+[8]BS17A!$U1941</f>
        <v>314530</v>
      </c>
      <c r="E259" s="146">
        <f>+[8]BS17A!$V1941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24">
        <f>+[8]BS17A!$D1942</f>
        <v>0</v>
      </c>
      <c r="D260" s="25">
        <f>+[8]BS17A!$U1942</f>
        <v>1045930</v>
      </c>
      <c r="E260" s="146">
        <f>+[8]BS17A!$V1942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24">
        <f>+[8]BS17A!$D1943</f>
        <v>0</v>
      </c>
      <c r="D261" s="25">
        <f>+[8]BS17A!$U1943</f>
        <v>1074870</v>
      </c>
      <c r="E261" s="146">
        <f>+[8]BS17A!$V1943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24">
        <f>+[8]BS17A!$D1944</f>
        <v>0</v>
      </c>
      <c r="D262" s="25">
        <f>+[8]BS17A!$U1944</f>
        <v>851060</v>
      </c>
      <c r="E262" s="146">
        <f>+[8]BS17A!$V1944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24">
        <f>+[8]BS17A!$D1945</f>
        <v>0</v>
      </c>
      <c r="D263" s="25">
        <f>+[8]BS17A!$U1945</f>
        <v>896940</v>
      </c>
      <c r="E263" s="146">
        <f>+[8]BS17A!$V1945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24">
        <f>+[8]BS17A!$D1946</f>
        <v>0</v>
      </c>
      <c r="D264" s="25">
        <f>+[8]BS17A!$U1946</f>
        <v>353830</v>
      </c>
      <c r="E264" s="146">
        <f>+[8]BS17A!$V1946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24">
        <f>+[8]BS17A!$D1947</f>
        <v>0</v>
      </c>
      <c r="D265" s="25">
        <f>+[8]BS17A!$U1947</f>
        <v>84740</v>
      </c>
      <c r="E265" s="146">
        <f>+[8]BS17A!$V1947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24">
        <f>+[8]BS17A!$D1948</f>
        <v>0</v>
      </c>
      <c r="D266" s="25">
        <f>+[8]BS17A!$U1948</f>
        <v>252810</v>
      </c>
      <c r="E266" s="146">
        <f>+[8]BS17A!$V1948</f>
        <v>0</v>
      </c>
      <c r="F266" s="8"/>
    </row>
    <row r="267" spans="1:6" ht="15" customHeight="1" x14ac:dyDescent="0.2">
      <c r="A267" s="22" t="s">
        <v>392</v>
      </c>
      <c r="B267" s="23" t="s">
        <v>393</v>
      </c>
      <c r="C267" s="24">
        <f>+[8]BS17A!$D1949</f>
        <v>0</v>
      </c>
      <c r="D267" s="25">
        <f>+[8]BS17A!$U1949</f>
        <v>71480</v>
      </c>
      <c r="E267" s="146">
        <f>+[8]BS17A!$V1949</f>
        <v>0</v>
      </c>
      <c r="F267" s="8"/>
    </row>
    <row r="268" spans="1:6" ht="15" customHeight="1" x14ac:dyDescent="0.2">
      <c r="A268" s="22" t="s">
        <v>394</v>
      </c>
      <c r="B268" s="23" t="s">
        <v>395</v>
      </c>
      <c r="C268" s="24">
        <f>+[8]BS17A!$D1950</f>
        <v>0</v>
      </c>
      <c r="D268" s="25">
        <f>+[8]BS17A!$U1950</f>
        <v>1228260</v>
      </c>
      <c r="E268" s="146">
        <f>+[8]BS17A!$V1950</f>
        <v>0</v>
      </c>
      <c r="F268" s="8"/>
    </row>
    <row r="269" spans="1:6" ht="15" customHeight="1" x14ac:dyDescent="0.2">
      <c r="A269" s="22" t="s">
        <v>396</v>
      </c>
      <c r="B269" s="23" t="s">
        <v>397</v>
      </c>
      <c r="C269" s="24">
        <f>+[8]BS17A!$D1951</f>
        <v>0</v>
      </c>
      <c r="D269" s="25">
        <f>+[8]BS17A!$U1951</f>
        <v>287200</v>
      </c>
      <c r="E269" s="146">
        <f>+[8]BS17A!$V1951</f>
        <v>0</v>
      </c>
      <c r="F269" s="8"/>
    </row>
    <row r="270" spans="1:6" ht="15" customHeight="1" x14ac:dyDescent="0.2">
      <c r="A270" s="22" t="s">
        <v>398</v>
      </c>
      <c r="B270" s="23" t="s">
        <v>399</v>
      </c>
      <c r="C270" s="24">
        <f>+[8]BS17A!$D1952</f>
        <v>0</v>
      </c>
      <c r="D270" s="25">
        <f>+[8]BS17A!$U1952</f>
        <v>962120</v>
      </c>
      <c r="E270" s="146">
        <f>+[8]BS17A!$V1952</f>
        <v>0</v>
      </c>
      <c r="F270" s="8"/>
    </row>
    <row r="271" spans="1:6" ht="15" customHeight="1" x14ac:dyDescent="0.2">
      <c r="A271" s="22" t="s">
        <v>400</v>
      </c>
      <c r="B271" s="30" t="s">
        <v>401</v>
      </c>
      <c r="C271" s="24">
        <f>+[8]BS17A!$D1953</f>
        <v>0</v>
      </c>
      <c r="D271" s="25">
        <f>+[8]BS17A!$U1953</f>
        <v>589010</v>
      </c>
      <c r="E271" s="146">
        <f>+[8]BS17A!$V1953</f>
        <v>0</v>
      </c>
      <c r="F271" s="8"/>
    </row>
    <row r="272" spans="1:6" ht="15" customHeight="1" x14ac:dyDescent="0.2">
      <c r="A272" s="29" t="s">
        <v>402</v>
      </c>
      <c r="B272" s="30" t="s">
        <v>403</v>
      </c>
      <c r="C272" s="31">
        <f>+[8]BS17A!$D1954</f>
        <v>0</v>
      </c>
      <c r="D272" s="32">
        <f>+[8]BS17A!$U1954</f>
        <v>480670</v>
      </c>
      <c r="E272" s="195">
        <f>+[8]BS17A!$V1954</f>
        <v>0</v>
      </c>
      <c r="F272" s="8"/>
    </row>
    <row r="273" spans="1:10" ht="15" customHeight="1" x14ac:dyDescent="0.2">
      <c r="A273" s="242" t="s">
        <v>404</v>
      </c>
      <c r="B273" s="243"/>
      <c r="C273" s="243"/>
      <c r="D273" s="243"/>
      <c r="E273" s="244"/>
      <c r="F273" s="8"/>
    </row>
    <row r="274" spans="1:10" ht="15" customHeight="1" x14ac:dyDescent="0.2">
      <c r="A274" s="17" t="s">
        <v>405</v>
      </c>
      <c r="B274" s="18" t="s">
        <v>406</v>
      </c>
      <c r="C274" s="70">
        <f>+[8]BS17A!$D1955</f>
        <v>0</v>
      </c>
      <c r="D274" s="20">
        <f>[8]BS17A!U1955</f>
        <v>259110</v>
      </c>
      <c r="E274" s="199">
        <f>+[8]BS17A!$V1955</f>
        <v>0</v>
      </c>
      <c r="F274" s="8"/>
    </row>
    <row r="275" spans="1:10" ht="15" customHeight="1" x14ac:dyDescent="0.2">
      <c r="A275" s="22" t="s">
        <v>407</v>
      </c>
      <c r="B275" s="23" t="s">
        <v>408</v>
      </c>
      <c r="C275" s="24">
        <f>+[8]BS17A!$D1956</f>
        <v>0</v>
      </c>
      <c r="D275" s="25">
        <f>[8]BS17A!U1956</f>
        <v>151070</v>
      </c>
      <c r="E275" s="146">
        <f>+[8]BS17A!$V1956</f>
        <v>0</v>
      </c>
      <c r="F275" s="8"/>
    </row>
    <row r="276" spans="1:10" ht="15" customHeight="1" x14ac:dyDescent="0.2">
      <c r="A276" s="22" t="s">
        <v>409</v>
      </c>
      <c r="B276" s="23" t="s">
        <v>410</v>
      </c>
      <c r="C276" s="24">
        <f>+[8]BS17A!$D1957</f>
        <v>0</v>
      </c>
      <c r="D276" s="25">
        <f>[8]BS17A!U1957</f>
        <v>365020</v>
      </c>
      <c r="E276" s="146">
        <f>+[8]BS17A!$V1957</f>
        <v>0</v>
      </c>
      <c r="F276" s="8"/>
    </row>
    <row r="277" spans="1:10" ht="15" customHeight="1" x14ac:dyDescent="0.2">
      <c r="A277" s="22" t="s">
        <v>411</v>
      </c>
      <c r="B277" s="23" t="s">
        <v>412</v>
      </c>
      <c r="C277" s="24">
        <f>+[8]BS17A!$D1958</f>
        <v>0</v>
      </c>
      <c r="D277" s="25">
        <f>[8]BS17A!U1958</f>
        <v>378270</v>
      </c>
      <c r="E277" s="146">
        <f>+[8]BS17A!$V1958</f>
        <v>0</v>
      </c>
      <c r="F277" s="8"/>
    </row>
    <row r="278" spans="1:10" ht="15" customHeight="1" x14ac:dyDescent="0.2">
      <c r="A278" s="29" t="s">
        <v>413</v>
      </c>
      <c r="B278" s="39" t="s">
        <v>414</v>
      </c>
      <c r="C278" s="31">
        <f>+[8]BS17A!$D1959</f>
        <v>0</v>
      </c>
      <c r="D278" s="40">
        <f>[8]BS17A!U1959</f>
        <v>236360</v>
      </c>
      <c r="E278" s="153">
        <f>+[8]BS17A!$V1959</f>
        <v>0</v>
      </c>
      <c r="F278" s="200"/>
    </row>
    <row r="279" spans="1:10" ht="15" customHeight="1" x14ac:dyDescent="0.2">
      <c r="A279" s="201" t="s">
        <v>415</v>
      </c>
      <c r="B279" s="202" t="s">
        <v>416</v>
      </c>
      <c r="C279" s="203">
        <f>+[8]BS17A!$D1960</f>
        <v>98</v>
      </c>
      <c r="D279" s="204">
        <f>[8]BS17A!U1960</f>
        <v>32140</v>
      </c>
      <c r="E279" s="189">
        <f>+[8]BS17A!$V1960</f>
        <v>3149720</v>
      </c>
      <c r="F279" s="200"/>
    </row>
    <row r="280" spans="1:10" ht="15" customHeight="1" x14ac:dyDescent="0.2">
      <c r="A280" s="130"/>
      <c r="B280" s="205" t="s">
        <v>417</v>
      </c>
      <c r="C280" s="44">
        <f>SUM(C240:C279)</f>
        <v>98</v>
      </c>
      <c r="D280" s="151"/>
      <c r="E280" s="152">
        <f>SUM(E240:E279)</f>
        <v>3149720</v>
      </c>
      <c r="F280" s="200"/>
    </row>
    <row r="281" spans="1:10" ht="18" customHeight="1" x14ac:dyDescent="0.2">
      <c r="A281" s="183"/>
      <c r="B281" s="8"/>
      <c r="C281" s="8"/>
      <c r="D281" s="183"/>
      <c r="E281" s="183"/>
      <c r="F281" s="8"/>
    </row>
    <row r="282" spans="1:10" ht="18" customHeight="1" x14ac:dyDescent="0.2">
      <c r="A282" s="183"/>
      <c r="B282" s="185"/>
      <c r="C282" s="185"/>
      <c r="D282" s="183"/>
      <c r="E282" s="183"/>
      <c r="F282" s="206"/>
      <c r="G282" s="207"/>
      <c r="J282" s="208"/>
    </row>
    <row r="283" spans="1:10" ht="12.75" customHeight="1" x14ac:dyDescent="0.2">
      <c r="A283" s="251" t="s">
        <v>418</v>
      </c>
      <c r="B283" s="254"/>
      <c r="C283" s="254"/>
      <c r="D283" s="254"/>
      <c r="E283" s="255"/>
      <c r="F283" s="8"/>
    </row>
    <row r="284" spans="1:10" ht="44.25" customHeight="1" x14ac:dyDescent="0.2">
      <c r="A284" s="11" t="s">
        <v>8</v>
      </c>
      <c r="B284" s="11" t="s">
        <v>418</v>
      </c>
      <c r="C284" s="12" t="s">
        <v>339</v>
      </c>
      <c r="D284" s="13" t="s">
        <v>11</v>
      </c>
      <c r="E284" s="14" t="s">
        <v>12</v>
      </c>
      <c r="F284" s="200"/>
    </row>
    <row r="285" spans="1:10" ht="15" customHeight="1" x14ac:dyDescent="0.2">
      <c r="A285" s="17" t="s">
        <v>419</v>
      </c>
      <c r="B285" s="209" t="s">
        <v>420</v>
      </c>
      <c r="C285" s="19">
        <f>+[8]BS17A!$D1962</f>
        <v>6</v>
      </c>
      <c r="D285" s="37">
        <f>+[8]BS17A!$U1962</f>
        <v>6320</v>
      </c>
      <c r="E285" s="145">
        <f>+[8]BS17A!$V1962</f>
        <v>37920</v>
      </c>
      <c r="F285" s="8"/>
    </row>
    <row r="286" spans="1:10" ht="15" customHeight="1" x14ac:dyDescent="0.2">
      <c r="A286" s="22" t="s">
        <v>421</v>
      </c>
      <c r="B286" s="210" t="s">
        <v>422</v>
      </c>
      <c r="C286" s="24">
        <f>+[8]BS17A!$D1963</f>
        <v>0</v>
      </c>
      <c r="D286" s="25">
        <f>+[8]BS17A!$U1963</f>
        <v>3370</v>
      </c>
      <c r="E286" s="146">
        <f>+[8]BS17A!$V1963</f>
        <v>0</v>
      </c>
      <c r="F286" s="8"/>
    </row>
    <row r="287" spans="1:10" ht="15" customHeight="1" x14ac:dyDescent="0.2">
      <c r="A287" s="22" t="s">
        <v>423</v>
      </c>
      <c r="B287" s="210" t="s">
        <v>424</v>
      </c>
      <c r="C287" s="24">
        <f>+[8]BS17A!$D1964</f>
        <v>3</v>
      </c>
      <c r="D287" s="25">
        <f>+[8]BS17A!$U1964</f>
        <v>12690</v>
      </c>
      <c r="E287" s="146">
        <f>+[8]BS17A!$V1964</f>
        <v>38070</v>
      </c>
      <c r="F287" s="8"/>
    </row>
    <row r="288" spans="1:10" ht="15" customHeight="1" x14ac:dyDescent="0.2">
      <c r="A288" s="22" t="s">
        <v>425</v>
      </c>
      <c r="B288" s="210" t="s">
        <v>426</v>
      </c>
      <c r="C288" s="24">
        <f>+[8]BS17A!$D1965</f>
        <v>0</v>
      </c>
      <c r="D288" s="25">
        <f>+[8]BS17A!$U1965</f>
        <v>130140</v>
      </c>
      <c r="E288" s="146">
        <f>+[8]BS17A!$V1965</f>
        <v>0</v>
      </c>
      <c r="F288" s="8"/>
    </row>
    <row r="289" spans="1:7" ht="15" customHeight="1" x14ac:dyDescent="0.2">
      <c r="A289" s="29" t="s">
        <v>427</v>
      </c>
      <c r="B289" s="211" t="s">
        <v>428</v>
      </c>
      <c r="C289" s="31">
        <f>+[8]BS17A!$D1966</f>
        <v>0</v>
      </c>
      <c r="D289" s="40">
        <f>+[8]BS17A!$U1966</f>
        <v>714770</v>
      </c>
      <c r="E289" s="153">
        <f>+[8]BS17A!$V1966</f>
        <v>0</v>
      </c>
      <c r="F289" s="8"/>
    </row>
    <row r="290" spans="1:7" ht="15" customHeight="1" x14ac:dyDescent="0.2">
      <c r="A290" s="130"/>
      <c r="B290" s="131" t="s">
        <v>429</v>
      </c>
      <c r="C290" s="56">
        <f>SUM(C285:C289)</f>
        <v>9</v>
      </c>
      <c r="D290" s="57"/>
      <c r="E290" s="107">
        <f>SUM(E285:E289)</f>
        <v>75990</v>
      </c>
      <c r="F290" s="8"/>
    </row>
    <row r="291" spans="1:7" ht="18" customHeight="1" x14ac:dyDescent="0.2">
      <c r="A291" s="183"/>
      <c r="B291" s="185"/>
      <c r="C291" s="183"/>
      <c r="D291" s="183"/>
      <c r="E291" s="183"/>
      <c r="F291" s="8"/>
    </row>
    <row r="292" spans="1:7" ht="18" customHeight="1" x14ac:dyDescent="0.2">
      <c r="A292" s="183"/>
      <c r="B292" s="185"/>
      <c r="C292" s="183"/>
      <c r="D292" s="183"/>
      <c r="E292" s="183"/>
      <c r="F292" s="212"/>
      <c r="G292" s="10"/>
    </row>
    <row r="293" spans="1:7" ht="12.75" x14ac:dyDescent="0.2">
      <c r="A293" s="242" t="s">
        <v>430</v>
      </c>
      <c r="B293" s="243"/>
      <c r="C293" s="243"/>
      <c r="D293" s="243"/>
      <c r="E293" s="244"/>
      <c r="F293" s="213"/>
      <c r="G293" s="10"/>
    </row>
    <row r="294" spans="1:7" ht="36.75" customHeight="1" x14ac:dyDescent="0.2">
      <c r="A294" s="11" t="s">
        <v>8</v>
      </c>
      <c r="B294" s="214" t="s">
        <v>430</v>
      </c>
      <c r="C294" s="215" t="s">
        <v>431</v>
      </c>
      <c r="D294" s="13" t="s">
        <v>11</v>
      </c>
      <c r="E294" s="14" t="s">
        <v>12</v>
      </c>
      <c r="F294" s="213"/>
      <c r="G294" s="10"/>
    </row>
    <row r="295" spans="1:7" ht="15" customHeight="1" x14ac:dyDescent="0.2">
      <c r="A295" s="17" t="s">
        <v>432</v>
      </c>
      <c r="B295" s="36" t="s">
        <v>433</v>
      </c>
      <c r="C295" s="19">
        <f>+[8]BS17A!$D1851</f>
        <v>254</v>
      </c>
      <c r="D295" s="37">
        <f>+[8]BS17A!$U1851</f>
        <v>16920</v>
      </c>
      <c r="E295" s="145">
        <f>+[8]BS17A!$V1851</f>
        <v>4297680</v>
      </c>
      <c r="F295" s="8"/>
    </row>
    <row r="296" spans="1:7" ht="15" customHeight="1" x14ac:dyDescent="0.2">
      <c r="A296" s="22" t="s">
        <v>434</v>
      </c>
      <c r="B296" s="28" t="s">
        <v>435</v>
      </c>
      <c r="C296" s="24">
        <f>+[8]BS17A!$D1852</f>
        <v>134</v>
      </c>
      <c r="D296" s="25">
        <f>+[8]BS17A!$U1852</f>
        <v>53200</v>
      </c>
      <c r="E296" s="146">
        <f>+[8]BS17A!$V1852</f>
        <v>7128800</v>
      </c>
      <c r="F296" s="8"/>
    </row>
    <row r="297" spans="1:7" ht="15" customHeight="1" x14ac:dyDescent="0.2">
      <c r="A297" s="22" t="s">
        <v>436</v>
      </c>
      <c r="B297" s="28" t="s">
        <v>437</v>
      </c>
      <c r="C297" s="24">
        <f>+[8]BS17A!$D1853</f>
        <v>0</v>
      </c>
      <c r="D297" s="25">
        <f>+[8]BS17A!$U1853</f>
        <v>65950</v>
      </c>
      <c r="E297" s="146">
        <f>+[8]BS17A!$V1853</f>
        <v>0</v>
      </c>
      <c r="F297" s="8"/>
    </row>
    <row r="298" spans="1:7" ht="15" customHeight="1" x14ac:dyDescent="0.2">
      <c r="A298" s="22" t="s">
        <v>438</v>
      </c>
      <c r="B298" s="28" t="s">
        <v>439</v>
      </c>
      <c r="C298" s="24">
        <f>+[8]BS17A!$D1854</f>
        <v>152</v>
      </c>
      <c r="D298" s="25">
        <f>+[8]BS17A!$U1854</f>
        <v>2320</v>
      </c>
      <c r="E298" s="146">
        <f>+[8]BS17A!$V1854</f>
        <v>352640</v>
      </c>
      <c r="F298" s="8"/>
    </row>
    <row r="299" spans="1:7" ht="15" customHeight="1" x14ac:dyDescent="0.2">
      <c r="A299" s="22" t="s">
        <v>440</v>
      </c>
      <c r="B299" s="28" t="s">
        <v>441</v>
      </c>
      <c r="C299" s="24">
        <f>+[8]BS17A!$D1855</f>
        <v>0</v>
      </c>
      <c r="D299" s="25">
        <f>+[8]BS17A!$U1855</f>
        <v>70</v>
      </c>
      <c r="E299" s="146">
        <f>+[8]BS17A!$V1855</f>
        <v>0</v>
      </c>
      <c r="F299" s="8"/>
    </row>
    <row r="300" spans="1:7" ht="15" customHeight="1" x14ac:dyDescent="0.2">
      <c r="A300" s="22" t="s">
        <v>442</v>
      </c>
      <c r="B300" s="23" t="s">
        <v>443</v>
      </c>
      <c r="C300" s="24">
        <f>+[8]BS17A!$D1856</f>
        <v>0</v>
      </c>
      <c r="D300" s="25">
        <f>+[8]BS17A!$U1856</f>
        <v>140030</v>
      </c>
      <c r="E300" s="146">
        <f>+[8]BS17A!$V1856</f>
        <v>0</v>
      </c>
      <c r="F300" s="8"/>
    </row>
    <row r="301" spans="1:7" ht="15" customHeight="1" x14ac:dyDescent="0.2">
      <c r="A301" s="29" t="s">
        <v>444</v>
      </c>
      <c r="B301" s="43" t="s">
        <v>445</v>
      </c>
      <c r="C301" s="31">
        <f>+[8]BS17A!$D1857</f>
        <v>0</v>
      </c>
      <c r="D301" s="40">
        <f>+[8]BS17A!$U1857</f>
        <v>9520</v>
      </c>
      <c r="E301" s="153">
        <f>+[8]BS17A!$V1857</f>
        <v>0</v>
      </c>
      <c r="F301" s="8"/>
    </row>
    <row r="302" spans="1:7" ht="15" customHeight="1" x14ac:dyDescent="0.2">
      <c r="A302" s="96"/>
      <c r="B302" s="246" t="s">
        <v>446</v>
      </c>
      <c r="C302" s="247"/>
      <c r="D302" s="188"/>
      <c r="E302" s="217">
        <f>SUM(E295:E301)</f>
        <v>11779120</v>
      </c>
      <c r="F302" s="8"/>
    </row>
    <row r="303" spans="1:7" ht="12.75" x14ac:dyDescent="0.2">
      <c r="A303" s="8"/>
      <c r="B303" s="8"/>
      <c r="C303" s="8"/>
      <c r="D303" s="8"/>
      <c r="E303" s="8"/>
      <c r="F303" s="175"/>
      <c r="G303" s="182"/>
    </row>
    <row r="304" spans="1:7" ht="12.75" x14ac:dyDescent="0.2">
      <c r="A304" s="8"/>
      <c r="B304" s="8"/>
      <c r="C304" s="8"/>
      <c r="D304" s="8"/>
      <c r="E304" s="8"/>
      <c r="F304" s="175"/>
      <c r="G304" s="182"/>
    </row>
    <row r="305" spans="1:7" ht="12.75" x14ac:dyDescent="0.2">
      <c r="A305" s="239" t="s">
        <v>447</v>
      </c>
      <c r="B305" s="240"/>
      <c r="C305" s="240"/>
      <c r="D305" s="240"/>
      <c r="E305" s="241"/>
      <c r="F305" s="175"/>
      <c r="G305" s="182"/>
    </row>
    <row r="306" spans="1:7" ht="12.75" x14ac:dyDescent="0.2">
      <c r="A306" s="218"/>
      <c r="B306" s="248" t="s">
        <v>448</v>
      </c>
      <c r="C306" s="249"/>
      <c r="D306" s="250"/>
      <c r="E306" s="219">
        <f>+E231+E236+E280+E290+E302</f>
        <v>23215440</v>
      </c>
      <c r="F306" s="8"/>
    </row>
    <row r="307" spans="1:7" ht="12.75" x14ac:dyDescent="0.2">
      <c r="A307" s="8"/>
      <c r="B307" s="8"/>
      <c r="C307" s="8"/>
      <c r="D307" s="8"/>
      <c r="E307" s="8"/>
      <c r="F307" s="175"/>
      <c r="G307" s="182"/>
    </row>
    <row r="308" spans="1:7" ht="12.75" x14ac:dyDescent="0.2">
      <c r="A308" s="8"/>
      <c r="B308" s="8"/>
      <c r="C308" s="8"/>
      <c r="D308" s="8"/>
      <c r="E308" s="8"/>
      <c r="F308" s="175"/>
      <c r="G308" s="182"/>
    </row>
    <row r="309" spans="1:7" ht="12.75" x14ac:dyDescent="0.2">
      <c r="A309" s="239" t="s">
        <v>449</v>
      </c>
      <c r="B309" s="240"/>
      <c r="C309" s="240"/>
      <c r="D309" s="240"/>
      <c r="E309" s="241"/>
      <c r="F309" s="175"/>
      <c r="G309" s="182"/>
    </row>
    <row r="310" spans="1:7" ht="25.5" x14ac:dyDescent="0.2">
      <c r="A310" s="242" t="s">
        <v>450</v>
      </c>
      <c r="B310" s="243"/>
      <c r="C310" s="243"/>
      <c r="D310" s="244"/>
      <c r="E310" s="11" t="s">
        <v>12</v>
      </c>
      <c r="F310" s="175"/>
      <c r="G310" s="182"/>
    </row>
    <row r="311" spans="1:7" ht="15" customHeight="1" x14ac:dyDescent="0.2">
      <c r="A311" s="218"/>
      <c r="B311" s="248" t="s">
        <v>451</v>
      </c>
      <c r="C311" s="249"/>
      <c r="D311" s="250"/>
      <c r="E311" s="219">
        <f>+E50+E76+E84+F109+E116+C121+E148+E155+E167+E203+E217+C224+E306</f>
        <v>617296965</v>
      </c>
      <c r="F311" s="175"/>
      <c r="G311" s="182"/>
    </row>
    <row r="312" spans="1:7" ht="18" customHeight="1" x14ac:dyDescent="0.2">
      <c r="A312" s="8"/>
      <c r="B312" s="8"/>
      <c r="C312" s="8"/>
      <c r="D312" s="8"/>
      <c r="E312" s="8"/>
      <c r="F312" s="5"/>
    </row>
    <row r="313" spans="1:7" ht="18" customHeight="1" x14ac:dyDescent="0.2">
      <c r="A313" s="8"/>
      <c r="B313" s="8"/>
      <c r="C313" s="8"/>
      <c r="D313" s="8"/>
      <c r="E313" s="8"/>
      <c r="F313" s="5"/>
    </row>
    <row r="314" spans="1:7" ht="18" customHeight="1" x14ac:dyDescent="0.2">
      <c r="A314" s="239" t="s">
        <v>452</v>
      </c>
      <c r="B314" s="240"/>
      <c r="C314" s="241"/>
      <c r="D314" s="8"/>
      <c r="E314" s="8"/>
      <c r="F314" s="5"/>
    </row>
    <row r="315" spans="1:7" ht="18" customHeight="1" x14ac:dyDescent="0.2">
      <c r="A315" s="242" t="s">
        <v>453</v>
      </c>
      <c r="B315" s="243"/>
      <c r="C315" s="244"/>
      <c r="D315" s="8"/>
      <c r="E315" s="8"/>
      <c r="F315" s="5"/>
    </row>
    <row r="316" spans="1:7" ht="30.75" customHeight="1" x14ac:dyDescent="0.2">
      <c r="A316" s="239" t="s">
        <v>454</v>
      </c>
      <c r="B316" s="240"/>
      <c r="C316" s="11" t="s">
        <v>455</v>
      </c>
      <c r="D316" s="8"/>
      <c r="E316" s="8"/>
      <c r="F316" s="8"/>
    </row>
    <row r="317" spans="1:7" ht="15" customHeight="1" x14ac:dyDescent="0.2">
      <c r="A317" s="220" t="s">
        <v>456</v>
      </c>
      <c r="B317" s="191"/>
      <c r="C317" s="221"/>
      <c r="D317" s="8"/>
      <c r="E317" s="8"/>
      <c r="F317" s="8"/>
    </row>
    <row r="318" spans="1:7" ht="15" customHeight="1" x14ac:dyDescent="0.2">
      <c r="A318" s="24" t="s">
        <v>457</v>
      </c>
      <c r="B318" s="193"/>
      <c r="C318" s="222"/>
      <c r="D318" s="8"/>
      <c r="E318" s="8"/>
      <c r="F318" s="8"/>
    </row>
    <row r="319" spans="1:7" ht="15" customHeight="1" x14ac:dyDescent="0.2">
      <c r="A319" s="24" t="s">
        <v>458</v>
      </c>
      <c r="B319" s="193"/>
      <c r="C319" s="222"/>
      <c r="D319" s="8"/>
      <c r="E319" s="8"/>
      <c r="F319" s="8"/>
    </row>
    <row r="320" spans="1:7" ht="15" customHeight="1" x14ac:dyDescent="0.2">
      <c r="A320" s="223" t="s">
        <v>459</v>
      </c>
      <c r="B320" s="193"/>
      <c r="C320" s="222"/>
      <c r="D320" s="8"/>
      <c r="E320" s="8"/>
      <c r="F320" s="8"/>
    </row>
    <row r="321" spans="1:6" ht="15" customHeight="1" x14ac:dyDescent="0.2">
      <c r="A321" s="224" t="s">
        <v>460</v>
      </c>
      <c r="B321" s="225"/>
      <c r="C321" s="226">
        <f>SUM(C317:C320)</f>
        <v>0</v>
      </c>
      <c r="D321" s="8"/>
      <c r="E321" s="8"/>
      <c r="F321" s="8"/>
    </row>
    <row r="322" spans="1:6" ht="15" customHeight="1" x14ac:dyDescent="0.2">
      <c r="A322" s="19" t="s">
        <v>461</v>
      </c>
      <c r="B322" s="227"/>
      <c r="C322" s="221">
        <v>2165775</v>
      </c>
      <c r="D322" s="8"/>
      <c r="E322" s="8"/>
      <c r="F322" s="8"/>
    </row>
    <row r="323" spans="1:6" ht="15" customHeight="1" x14ac:dyDescent="0.2">
      <c r="A323" s="228" t="s">
        <v>462</v>
      </c>
      <c r="B323" s="229"/>
      <c r="C323" s="222"/>
      <c r="D323" s="8"/>
      <c r="E323" s="8"/>
      <c r="F323" s="8"/>
    </row>
    <row r="324" spans="1:6" ht="15" customHeight="1" x14ac:dyDescent="0.2">
      <c r="A324" s="24" t="s">
        <v>463</v>
      </c>
      <c r="B324" s="229"/>
      <c r="C324" s="222"/>
      <c r="D324" s="8"/>
      <c r="E324" s="8"/>
      <c r="F324" s="8"/>
    </row>
    <row r="325" spans="1:6" ht="15" customHeight="1" x14ac:dyDescent="0.2">
      <c r="A325" s="24" t="s">
        <v>464</v>
      </c>
      <c r="B325" s="229"/>
      <c r="C325" s="222"/>
      <c r="D325" s="8"/>
      <c r="E325" s="8"/>
      <c r="F325" s="8"/>
    </row>
    <row r="326" spans="1:6" ht="15" customHeight="1" x14ac:dyDescent="0.2">
      <c r="A326" s="228" t="s">
        <v>465</v>
      </c>
      <c r="B326" s="229"/>
      <c r="C326" s="222"/>
      <c r="D326" s="8"/>
      <c r="E326" s="8"/>
      <c r="F326" s="8"/>
    </row>
    <row r="327" spans="1:6" ht="15" customHeight="1" x14ac:dyDescent="0.2">
      <c r="A327" s="228" t="s">
        <v>466</v>
      </c>
      <c r="B327" s="229"/>
      <c r="C327" s="222"/>
      <c r="D327" s="8"/>
      <c r="E327" s="8"/>
      <c r="F327" s="8"/>
    </row>
    <row r="328" spans="1:6" ht="15" customHeight="1" x14ac:dyDescent="0.2">
      <c r="A328" s="230" t="s">
        <v>467</v>
      </c>
      <c r="B328" s="231"/>
      <c r="C328" s="232">
        <v>49400686</v>
      </c>
      <c r="D328" s="8"/>
      <c r="E328" s="8"/>
      <c r="F328" s="8"/>
    </row>
    <row r="329" spans="1:6" ht="15" customHeight="1" x14ac:dyDescent="0.2">
      <c r="A329" s="44"/>
      <c r="B329" s="233" t="s">
        <v>468</v>
      </c>
      <c r="C329" s="163">
        <f>SUM(C321:C328)</f>
        <v>51566461</v>
      </c>
      <c r="D329" s="8"/>
      <c r="E329" s="8"/>
      <c r="F329" s="8"/>
    </row>
    <row r="330" spans="1:6" ht="12.75" x14ac:dyDescent="0.2">
      <c r="A330" s="8"/>
      <c r="B330" s="8"/>
      <c r="C330" s="8"/>
      <c r="D330" s="8"/>
      <c r="E330" s="8"/>
      <c r="F330" s="5"/>
    </row>
    <row r="331" spans="1:6" ht="12.75" x14ac:dyDescent="0.2">
      <c r="A331" s="8"/>
      <c r="B331" s="8"/>
      <c r="C331" s="8"/>
      <c r="D331" s="8"/>
      <c r="E331" s="8"/>
      <c r="F331" s="5"/>
    </row>
    <row r="332" spans="1:6" ht="12.75" x14ac:dyDescent="0.2">
      <c r="A332" s="8"/>
      <c r="B332" s="8"/>
      <c r="C332" s="8"/>
      <c r="D332" s="8"/>
      <c r="E332" s="8"/>
      <c r="F332" s="5"/>
    </row>
    <row r="333" spans="1:6" ht="12.75" x14ac:dyDescent="0.2">
      <c r="A333" s="183"/>
      <c r="B333" s="183"/>
      <c r="C333" s="183"/>
      <c r="D333" s="183"/>
      <c r="E333" s="183"/>
      <c r="F333" s="212"/>
    </row>
    <row r="334" spans="1:6" ht="12.75" x14ac:dyDescent="0.2">
      <c r="A334" s="183"/>
      <c r="B334" s="183"/>
      <c r="C334" s="183"/>
      <c r="D334" s="183"/>
      <c r="E334" s="245" t="str">
        <f>[8]NOMBRE!B12</f>
        <v xml:space="preserve">SRA. MARIA INES NUÑEZ GONZALEZ </v>
      </c>
      <c r="F334" s="245"/>
    </row>
    <row r="335" spans="1:6" ht="12.75" x14ac:dyDescent="0.2">
      <c r="A335" s="183"/>
      <c r="B335" s="183"/>
      <c r="C335" s="183"/>
      <c r="D335" s="185"/>
      <c r="E335" s="238" t="str">
        <f>[8]NOMBRE!A12</f>
        <v>Jefe de Estadisticas</v>
      </c>
      <c r="F335" s="238"/>
    </row>
    <row r="336" spans="1:6" ht="12.75" x14ac:dyDescent="0.2">
      <c r="A336" s="183"/>
      <c r="B336" s="183"/>
      <c r="C336" s="183"/>
      <c r="D336" s="183"/>
      <c r="E336" s="234"/>
      <c r="F336" s="235"/>
    </row>
    <row r="337" spans="1:6" ht="12.75" x14ac:dyDescent="0.2">
      <c r="A337" s="183"/>
      <c r="B337" s="183"/>
      <c r="C337" s="183"/>
      <c r="D337" s="183"/>
      <c r="E337" s="235"/>
      <c r="F337" s="235"/>
    </row>
    <row r="338" spans="1:6" ht="12.75" x14ac:dyDescent="0.2">
      <c r="A338" s="183"/>
      <c r="B338" s="183"/>
      <c r="C338" s="183"/>
      <c r="D338" s="183"/>
      <c r="E338" s="235"/>
      <c r="F338" s="235"/>
    </row>
    <row r="339" spans="1:6" ht="12.75" x14ac:dyDescent="0.2">
      <c r="A339" s="183"/>
      <c r="B339" s="183"/>
      <c r="C339" s="183"/>
      <c r="D339" s="183"/>
      <c r="E339" s="235"/>
      <c r="F339" s="235"/>
    </row>
    <row r="340" spans="1:6" ht="12.75" x14ac:dyDescent="0.2">
      <c r="A340" s="183"/>
      <c r="B340" s="183"/>
      <c r="C340" s="183"/>
      <c r="D340" s="183"/>
      <c r="E340" s="235"/>
      <c r="F340" s="235"/>
    </row>
    <row r="341" spans="1:6" ht="12.75" x14ac:dyDescent="0.2">
      <c r="A341" s="183"/>
      <c r="B341" s="183"/>
      <c r="C341" s="183"/>
      <c r="D341" s="183"/>
      <c r="E341" s="235"/>
      <c r="F341" s="235"/>
    </row>
    <row r="342" spans="1:6" ht="12.75" x14ac:dyDescent="0.2">
      <c r="A342" s="183"/>
      <c r="B342" s="183"/>
      <c r="C342" s="183"/>
      <c r="D342" s="183"/>
      <c r="E342" s="235"/>
      <c r="F342" s="235"/>
    </row>
    <row r="343" spans="1:6" ht="12.75" x14ac:dyDescent="0.2">
      <c r="A343" s="183"/>
      <c r="B343" s="183"/>
      <c r="C343" s="183"/>
      <c r="D343" s="183"/>
      <c r="E343" s="245" t="str">
        <f>[8]NOMBRE!B11</f>
        <v xml:space="preserve">DR. RUBEN BRAVO CATILLO </v>
      </c>
      <c r="F343" s="245"/>
    </row>
    <row r="344" spans="1:6" ht="22.5" customHeight="1" x14ac:dyDescent="0.2">
      <c r="A344" s="183"/>
      <c r="B344" s="183"/>
      <c r="C344" s="183"/>
      <c r="D344" s="212"/>
      <c r="E344" s="238" t="str">
        <f>CONCATENATE("Director ",[8]NOMBRE!B1)</f>
        <v xml:space="preserve">Director </v>
      </c>
      <c r="F344" s="238"/>
    </row>
    <row r="345" spans="1:6" ht="12.75" x14ac:dyDescent="0.2">
      <c r="A345" s="183"/>
      <c r="B345" s="183"/>
      <c r="C345" s="183"/>
      <c r="D345" s="236"/>
      <c r="E345" s="183"/>
      <c r="F345" s="212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27:E227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0:E170"/>
    <mergeCell ref="A206:E206"/>
    <mergeCell ref="A220:C220"/>
    <mergeCell ref="B311:D311"/>
    <mergeCell ref="A234:E234"/>
    <mergeCell ref="A238:E238"/>
    <mergeCell ref="A254:E254"/>
    <mergeCell ref="A273:E273"/>
    <mergeCell ref="A283:E283"/>
    <mergeCell ref="A293:E293"/>
    <mergeCell ref="B302:C302"/>
    <mergeCell ref="A305:E305"/>
    <mergeCell ref="B306:D306"/>
    <mergeCell ref="A309:E309"/>
    <mergeCell ref="A310:D310"/>
    <mergeCell ref="E344:F344"/>
    <mergeCell ref="A314:C314"/>
    <mergeCell ref="A315:C315"/>
    <mergeCell ref="A316:B316"/>
    <mergeCell ref="E334:F334"/>
    <mergeCell ref="E335:F335"/>
    <mergeCell ref="E343:F3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2017-03-28T14:57:48Z</dcterms:created>
  <dcterms:modified xsi:type="dcterms:W3CDTF">2017-03-29T11:45:50Z</dcterms:modified>
</cp:coreProperties>
</file>